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cschlachter\AppData\Local\Temp\36\bayo_documents\"/>
    </mc:Choice>
  </mc:AlternateContent>
  <xr:revisionPtr revIDLastSave="0" documentId="13_ncr:1_{5DFBD8FB-0AEA-4459-A109-0BF0E9EB4192}" xr6:coauthVersionLast="47" xr6:coauthVersionMax="47" xr10:uidLastSave="{00000000-0000-0000-0000-000000000000}"/>
  <bookViews>
    <workbookView minimized="1" xWindow="2250" yWindow="2250" windowWidth="21600" windowHeight="11385" tabRatio="786" xr2:uid="{00000000-000D-0000-FFFF-FFFF00000000}"/>
  </bookViews>
  <sheets>
    <sheet name="Zusammenstellung" sheetId="2" r:id="rId1"/>
    <sheet name="Ang1" sheetId="3" r:id="rId2"/>
    <sheet name="Ang2" sheetId="4" r:id="rId3"/>
    <sheet name="Ang3" sheetId="7" r:id="rId4"/>
    <sheet name="Ang4" sheetId="11" r:id="rId5"/>
    <sheet name="Ang5" sheetId="5" r:id="rId6"/>
    <sheet name="Ang6" sheetId="9" r:id="rId7"/>
    <sheet name="Ang7" sheetId="8" r:id="rId8"/>
    <sheet name="Ang8" sheetId="12" r:id="rId9"/>
    <sheet name="Ang9" sheetId="13" r:id="rId10"/>
    <sheet name="Ang10" sheetId="14" r:id="rId11"/>
    <sheet name="Monatstotal" sheetId="10" r:id="rId12"/>
  </sheets>
  <definedNames>
    <definedName name="AHV">Zusammenstellung!$C$13</definedName>
    <definedName name="ALV">Zusammenstellung!$C$14</definedName>
    <definedName name="ALVMAX">Zusammenstellung!$E$14</definedName>
    <definedName name="ALVMAX2">Zusammenstellung!$F$14</definedName>
    <definedName name="_xlnm.Print_Area" localSheetId="1">'Ang1'!$A$1:$P$52</definedName>
    <definedName name="_xlnm.Print_Area" localSheetId="10">'Ang10'!$A$1:$P$52</definedName>
    <definedName name="_xlnm.Print_Area" localSheetId="2">'Ang2'!$A$1:$P$52</definedName>
    <definedName name="_xlnm.Print_Area" localSheetId="3">'Ang3'!$A$1:$P$52</definedName>
    <definedName name="_xlnm.Print_Area" localSheetId="4">'Ang4'!$A$1:$P$52</definedName>
    <definedName name="_xlnm.Print_Area" localSheetId="5">'Ang5'!$A$1:$P$52</definedName>
    <definedName name="_xlnm.Print_Area" localSheetId="6">'Ang6'!$A$1:$P$52</definedName>
    <definedName name="_xlnm.Print_Area" localSheetId="7">'Ang7'!$A$1:$P$52</definedName>
    <definedName name="_xlnm.Print_Area" localSheetId="8">'Ang8'!$A$1:$P$52</definedName>
    <definedName name="_xlnm.Print_Area" localSheetId="9">'Ang9'!$A$1:$P$52</definedName>
    <definedName name="_xlnm.Print_Area" localSheetId="11">Monatstotal!$A$1:$P$47</definedName>
    <definedName name="_xlnm.Print_Area" localSheetId="0">Zusammenstellung!$B$1:$Q$53</definedName>
    <definedName name="Firma">Zusammenstellung!$B$2</definedName>
    <definedName name="Jahr">Zusammenstellung!$F$8</definedName>
    <definedName name="KTG">Zusammenstellung!$C$16</definedName>
    <definedName name="KTGW">Zusammenstellung!$C$17</definedName>
    <definedName name="NBU">Zusammenstellung!$C$15</definedName>
    <definedName name="Ort">Zusammenstellung!$B$3</definedName>
    <definedName name="Print_Area" localSheetId="1">'Ang1'!$A$1:$Q$52</definedName>
    <definedName name="Print_Area" localSheetId="10">'Ang10'!$A$1:$Q$52</definedName>
    <definedName name="Print_Area" localSheetId="2">'Ang2'!$A$1:$Q$52</definedName>
    <definedName name="Print_Area" localSheetId="3">'Ang3'!$A$1:$Q$52</definedName>
    <definedName name="Print_Area" localSheetId="4">'Ang4'!$A$1:$Q$52</definedName>
    <definedName name="Print_Area" localSheetId="5">'Ang5'!$A$1:$Q$52</definedName>
    <definedName name="Print_Area" localSheetId="6">'Ang6'!$A$1:$Q$52</definedName>
    <definedName name="Print_Area" localSheetId="7">'Ang7'!$A$1:$Q$52</definedName>
    <definedName name="Print_Area" localSheetId="8">'Ang8'!$A$1:$Q$52</definedName>
    <definedName name="Print_Area" localSheetId="9">'Ang9'!$A$1:$Q$52</definedName>
    <definedName name="Print_Area" localSheetId="11">Monatstotal!$A$1:$Q$46</definedName>
    <definedName name="Print_Area" localSheetId="0">Zusammenstellung!$B$2:$S$53</definedName>
    <definedName name="Version">Zusammenstellung!$I$52</definedName>
  </definedNames>
  <calcPr calcId="191029"/>
  <customWorkbookViews>
    <customWorkbookView name="muster - Persönliche Ansicht" guid="{04106264-F657-4A1A-B82E-CC675E3BD1F2}" mergeInterval="0" personalView="1" maximized="1" windowWidth="1020" windowHeight="60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7" l="1"/>
  <c r="C14" i="7" s="1"/>
  <c r="E13" i="7" s="1"/>
  <c r="C13" i="11"/>
  <c r="C14" i="11" s="1"/>
  <c r="E13" i="11" s="1"/>
  <c r="C13" i="5"/>
  <c r="C14" i="5" s="1"/>
  <c r="E13" i="5" s="1"/>
  <c r="C13" i="9"/>
  <c r="C14" i="9" s="1"/>
  <c r="E13" i="9" s="1"/>
  <c r="C13" i="8"/>
  <c r="C14" i="8" s="1"/>
  <c r="E13" i="8" s="1"/>
  <c r="C13" i="12"/>
  <c r="C14" i="12" s="1"/>
  <c r="E13" i="12" s="1"/>
  <c r="C13" i="13"/>
  <c r="C14" i="13" s="1"/>
  <c r="E13" i="13" s="1"/>
  <c r="C13" i="14"/>
  <c r="C14" i="14" s="1"/>
  <c r="E13" i="14" s="1"/>
  <c r="C13" i="4"/>
  <c r="C14" i="4" s="1"/>
  <c r="E13" i="4" s="1"/>
  <c r="C13" i="3"/>
  <c r="C14" i="3" l="1"/>
  <c r="E13" i="3" s="1"/>
  <c r="D13" i="4"/>
  <c r="D13" i="14"/>
  <c r="D13" i="13"/>
  <c r="D13" i="12"/>
  <c r="D13" i="8"/>
  <c r="D13" i="9"/>
  <c r="D13" i="5"/>
  <c r="D13" i="11"/>
  <c r="D13" i="7"/>
  <c r="D13" i="3"/>
  <c r="F13" i="3"/>
  <c r="F13" i="4"/>
  <c r="U21" i="14"/>
  <c r="U21" i="13"/>
  <c r="U21" i="12"/>
  <c r="U21" i="8"/>
  <c r="U21" i="9"/>
  <c r="U21" i="5"/>
  <c r="U21" i="11"/>
  <c r="U21" i="7"/>
  <c r="U21" i="4"/>
  <c r="P16" i="3"/>
  <c r="N7" i="4" l="1"/>
  <c r="J7" i="4"/>
  <c r="O16" i="3"/>
  <c r="N7" i="3" l="1"/>
  <c r="J7" i="3"/>
  <c r="G9" i="3"/>
  <c r="F9" i="3"/>
  <c r="E16" i="4"/>
  <c r="N7" i="14" l="1"/>
  <c r="J7" i="14"/>
  <c r="N7" i="12"/>
  <c r="J7" i="12"/>
  <c r="N7" i="5"/>
  <c r="J7" i="5"/>
  <c r="N7" i="11"/>
  <c r="J7" i="11"/>
  <c r="G9" i="13"/>
  <c r="F9" i="13"/>
  <c r="H9" i="13" s="1"/>
  <c r="H10" i="13" s="1"/>
  <c r="N7" i="7" l="1"/>
  <c r="J7" i="7"/>
  <c r="N7" i="8"/>
  <c r="J7" i="8"/>
  <c r="N7" i="9"/>
  <c r="J7" i="9"/>
  <c r="N7" i="13"/>
  <c r="J7" i="13"/>
  <c r="H9" i="3"/>
  <c r="H10" i="3" s="1"/>
  <c r="G9" i="5"/>
  <c r="F9" i="5"/>
  <c r="H9" i="5" s="1"/>
  <c r="H10" i="5" s="1"/>
  <c r="G9" i="7"/>
  <c r="F9" i="7"/>
  <c r="H9" i="7" s="1"/>
  <c r="H10" i="7" s="1"/>
  <c r="G9" i="8"/>
  <c r="F9" i="8"/>
  <c r="H9" i="8" s="1"/>
  <c r="H10" i="8" s="1"/>
  <c r="F9" i="9"/>
  <c r="H9" i="9" s="1"/>
  <c r="H10" i="9" s="1"/>
  <c r="G9" i="9"/>
  <c r="G9" i="11"/>
  <c r="F9" i="11"/>
  <c r="H9" i="11" s="1"/>
  <c r="H10" i="11" s="1"/>
  <c r="G9" i="14"/>
  <c r="F9" i="14"/>
  <c r="H9" i="14" s="1"/>
  <c r="H10" i="14" s="1"/>
  <c r="G9" i="12"/>
  <c r="F9" i="12"/>
  <c r="H9" i="12" s="1"/>
  <c r="H10" i="12" s="1"/>
  <c r="F9" i="4"/>
  <c r="H9" i="4" s="1"/>
  <c r="H10" i="4" s="1"/>
  <c r="G9" i="4"/>
  <c r="B1" i="3"/>
  <c r="C13" i="2" l="1"/>
  <c r="U33" i="4" l="1"/>
  <c r="U32" i="4"/>
  <c r="U33" i="7"/>
  <c r="U32" i="7"/>
  <c r="U33" i="11"/>
  <c r="U32" i="11"/>
  <c r="U33" i="5"/>
  <c r="U32" i="5"/>
  <c r="U33" i="9"/>
  <c r="U32" i="9"/>
  <c r="U33" i="8"/>
  <c r="U32" i="8"/>
  <c r="U33" i="12"/>
  <c r="U32" i="12"/>
  <c r="U33" i="13"/>
  <c r="U32" i="13"/>
  <c r="U33" i="14"/>
  <c r="U32" i="14"/>
  <c r="U33" i="3"/>
  <c r="U32" i="3"/>
  <c r="P2" i="10" l="1"/>
  <c r="P1" i="10"/>
  <c r="P2" i="12"/>
  <c r="P2" i="13"/>
  <c r="P2" i="14"/>
  <c r="P2" i="8"/>
  <c r="P1" i="12"/>
  <c r="P1" i="13"/>
  <c r="P1" i="14"/>
  <c r="P1" i="8"/>
  <c r="P2" i="7"/>
  <c r="P2" i="11"/>
  <c r="P2" i="5"/>
  <c r="P2" i="9"/>
  <c r="P2" i="4"/>
  <c r="P1" i="7"/>
  <c r="P1" i="11"/>
  <c r="P1" i="5"/>
  <c r="P1" i="9"/>
  <c r="P1" i="4"/>
  <c r="P2" i="3"/>
  <c r="P1" i="3"/>
  <c r="O27" i="10" l="1"/>
  <c r="M27" i="10"/>
  <c r="L27" i="10"/>
  <c r="I27" i="10"/>
  <c r="E27" i="10"/>
  <c r="D27" i="10"/>
  <c r="C27" i="10"/>
  <c r="B27" i="10"/>
  <c r="O26" i="10"/>
  <c r="M26" i="10"/>
  <c r="L26" i="10"/>
  <c r="I26" i="10"/>
  <c r="E26" i="10"/>
  <c r="D26" i="10"/>
  <c r="C26" i="10"/>
  <c r="B26" i="10"/>
  <c r="O25" i="10"/>
  <c r="M25" i="10"/>
  <c r="L25" i="10"/>
  <c r="I25" i="10"/>
  <c r="E25" i="10"/>
  <c r="D25" i="10"/>
  <c r="C25" i="10"/>
  <c r="B25" i="10"/>
  <c r="O24" i="10"/>
  <c r="M24" i="10"/>
  <c r="L24" i="10"/>
  <c r="I24" i="10"/>
  <c r="E24" i="10"/>
  <c r="D24" i="10"/>
  <c r="C24" i="10"/>
  <c r="B24" i="10"/>
  <c r="O23" i="10"/>
  <c r="M23" i="10"/>
  <c r="L23" i="10"/>
  <c r="I23" i="10"/>
  <c r="E23" i="10"/>
  <c r="D23" i="10"/>
  <c r="C23" i="10"/>
  <c r="B23" i="10"/>
  <c r="O22" i="10"/>
  <c r="M22" i="10"/>
  <c r="L22" i="10"/>
  <c r="I22" i="10"/>
  <c r="E22" i="10"/>
  <c r="D22" i="10"/>
  <c r="C22" i="10"/>
  <c r="B22" i="10"/>
  <c r="O21" i="10"/>
  <c r="M21" i="10"/>
  <c r="L21" i="10"/>
  <c r="I21" i="10"/>
  <c r="E21" i="10"/>
  <c r="D21" i="10"/>
  <c r="C21" i="10"/>
  <c r="B21" i="10"/>
  <c r="O20" i="10"/>
  <c r="M20" i="10"/>
  <c r="L20" i="10"/>
  <c r="I20" i="10"/>
  <c r="E20" i="10"/>
  <c r="D20" i="10"/>
  <c r="C20" i="10"/>
  <c r="B20" i="10"/>
  <c r="O19" i="10"/>
  <c r="M19" i="10"/>
  <c r="L19" i="10"/>
  <c r="I19" i="10"/>
  <c r="E19" i="10"/>
  <c r="D19" i="10"/>
  <c r="C19" i="10"/>
  <c r="B19" i="10"/>
  <c r="O18" i="10"/>
  <c r="M18" i="10"/>
  <c r="L18" i="10"/>
  <c r="I18" i="10"/>
  <c r="E18" i="10"/>
  <c r="D18" i="10"/>
  <c r="C18" i="10"/>
  <c r="B18" i="10"/>
  <c r="O17" i="10"/>
  <c r="M17" i="10"/>
  <c r="L17" i="10"/>
  <c r="I17" i="10"/>
  <c r="E17" i="10"/>
  <c r="D17" i="10"/>
  <c r="C17" i="10"/>
  <c r="B17" i="10"/>
  <c r="O16" i="10"/>
  <c r="M16" i="10"/>
  <c r="L16" i="10"/>
  <c r="I16" i="10"/>
  <c r="E16" i="10"/>
  <c r="D16" i="10"/>
  <c r="C16" i="10"/>
  <c r="B16" i="10"/>
  <c r="O15" i="10"/>
  <c r="M15" i="10"/>
  <c r="L15" i="10"/>
  <c r="I15" i="10"/>
  <c r="E15" i="10"/>
  <c r="D15" i="10"/>
  <c r="C15" i="10"/>
  <c r="B15" i="10"/>
  <c r="O14" i="10"/>
  <c r="M14" i="10"/>
  <c r="L14" i="10"/>
  <c r="I14" i="10"/>
  <c r="E14" i="10"/>
  <c r="D14" i="10"/>
  <c r="C14" i="10"/>
  <c r="B14" i="10"/>
  <c r="P10" i="10"/>
  <c r="O10" i="10"/>
  <c r="N10" i="10"/>
  <c r="K10" i="10"/>
  <c r="J10" i="10"/>
  <c r="I10" i="10"/>
  <c r="H10" i="10"/>
  <c r="G10" i="10"/>
  <c r="F10" i="10"/>
  <c r="E10" i="10"/>
  <c r="D10" i="10"/>
  <c r="C10" i="10"/>
  <c r="B10" i="10"/>
  <c r="B1" i="10"/>
  <c r="O35" i="14"/>
  <c r="P33" i="2" s="1"/>
  <c r="M35" i="14"/>
  <c r="L35" i="14"/>
  <c r="I35" i="14"/>
  <c r="E35" i="14"/>
  <c r="F33" i="2" s="1"/>
  <c r="D35" i="14"/>
  <c r="C35" i="14"/>
  <c r="B35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AA20" i="14"/>
  <c r="R20" i="14"/>
  <c r="Q21" i="14" s="1"/>
  <c r="F20" i="14"/>
  <c r="K18" i="14"/>
  <c r="K33" i="14" s="1"/>
  <c r="J18" i="14"/>
  <c r="H18" i="14"/>
  <c r="G18" i="14"/>
  <c r="P16" i="14"/>
  <c r="O16" i="14"/>
  <c r="N16" i="14"/>
  <c r="K16" i="14"/>
  <c r="J16" i="14"/>
  <c r="I16" i="14"/>
  <c r="H16" i="14"/>
  <c r="G16" i="14"/>
  <c r="F16" i="14"/>
  <c r="E16" i="14"/>
  <c r="D16" i="14"/>
  <c r="C16" i="14"/>
  <c r="B16" i="14"/>
  <c r="H6" i="14"/>
  <c r="J5" i="14"/>
  <c r="R4" i="14"/>
  <c r="B1" i="14"/>
  <c r="O35" i="13"/>
  <c r="P32" i="2" s="1"/>
  <c r="M35" i="13"/>
  <c r="N32" i="2" s="1"/>
  <c r="L35" i="13"/>
  <c r="I35" i="13"/>
  <c r="E35" i="13"/>
  <c r="D35" i="13"/>
  <c r="E32" i="2" s="1"/>
  <c r="C35" i="13"/>
  <c r="B35" i="13"/>
  <c r="C32" i="2" s="1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AA20" i="13"/>
  <c r="R20" i="13"/>
  <c r="Q21" i="13" s="1"/>
  <c r="F20" i="13"/>
  <c r="K18" i="13"/>
  <c r="K31" i="13" s="1"/>
  <c r="J18" i="13"/>
  <c r="H18" i="13"/>
  <c r="G18" i="13"/>
  <c r="G32" i="13" s="1"/>
  <c r="P16" i="13"/>
  <c r="O16" i="13"/>
  <c r="N16" i="13"/>
  <c r="K16" i="13"/>
  <c r="J16" i="13"/>
  <c r="I16" i="13"/>
  <c r="H16" i="13"/>
  <c r="G16" i="13"/>
  <c r="F16" i="13"/>
  <c r="E16" i="13"/>
  <c r="D16" i="13"/>
  <c r="C16" i="13"/>
  <c r="B16" i="13"/>
  <c r="H6" i="13"/>
  <c r="J5" i="13"/>
  <c r="R4" i="13"/>
  <c r="B1" i="13"/>
  <c r="O35" i="12"/>
  <c r="M35" i="12"/>
  <c r="L35" i="12"/>
  <c r="M31" i="2" s="1"/>
  <c r="I35" i="12"/>
  <c r="J31" i="2" s="1"/>
  <c r="E35" i="12"/>
  <c r="F31" i="2" s="1"/>
  <c r="D35" i="12"/>
  <c r="C35" i="12"/>
  <c r="D31" i="2" s="1"/>
  <c r="B35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AA20" i="12"/>
  <c r="AA21" i="12" s="1"/>
  <c r="AA22" i="12" s="1"/>
  <c r="R20" i="12"/>
  <c r="Q21" i="12" s="1"/>
  <c r="F20" i="12"/>
  <c r="K18" i="12"/>
  <c r="K31" i="12" s="1"/>
  <c r="J18" i="12"/>
  <c r="H18" i="12"/>
  <c r="G18" i="12"/>
  <c r="G32" i="12" s="1"/>
  <c r="P16" i="12"/>
  <c r="O16" i="12"/>
  <c r="N16" i="12"/>
  <c r="K16" i="12"/>
  <c r="J16" i="12"/>
  <c r="I16" i="12"/>
  <c r="H16" i="12"/>
  <c r="G16" i="12"/>
  <c r="F16" i="12"/>
  <c r="E16" i="12"/>
  <c r="D16" i="12"/>
  <c r="C16" i="12"/>
  <c r="B16" i="12"/>
  <c r="H6" i="12"/>
  <c r="J5" i="12"/>
  <c r="R4" i="12"/>
  <c r="B1" i="12"/>
  <c r="O35" i="8"/>
  <c r="M35" i="8"/>
  <c r="N30" i="2" s="1"/>
  <c r="L35" i="8"/>
  <c r="I35" i="8"/>
  <c r="E35" i="8"/>
  <c r="D35" i="8"/>
  <c r="C35" i="8"/>
  <c r="B35" i="8"/>
  <c r="C30" i="2" s="1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AA20" i="8"/>
  <c r="AA21" i="8" s="1"/>
  <c r="AA22" i="8" s="1"/>
  <c r="R20" i="8"/>
  <c r="Q21" i="8" s="1"/>
  <c r="F20" i="8"/>
  <c r="K18" i="8"/>
  <c r="K31" i="8" s="1"/>
  <c r="J18" i="8"/>
  <c r="H18" i="8"/>
  <c r="G18" i="8"/>
  <c r="G32" i="8" s="1"/>
  <c r="P16" i="8"/>
  <c r="O16" i="8"/>
  <c r="N16" i="8"/>
  <c r="K16" i="8"/>
  <c r="J16" i="8"/>
  <c r="I16" i="8"/>
  <c r="H16" i="8"/>
  <c r="G16" i="8"/>
  <c r="F16" i="8"/>
  <c r="E16" i="8"/>
  <c r="D16" i="8"/>
  <c r="C16" i="8"/>
  <c r="B16" i="8"/>
  <c r="H6" i="8"/>
  <c r="J5" i="8"/>
  <c r="R4" i="8"/>
  <c r="B1" i="8"/>
  <c r="O35" i="9"/>
  <c r="M35" i="9"/>
  <c r="L35" i="9"/>
  <c r="M29" i="2" s="1"/>
  <c r="I35" i="9"/>
  <c r="E35" i="9"/>
  <c r="F29" i="2" s="1"/>
  <c r="D35" i="9"/>
  <c r="E29" i="2" s="1"/>
  <c r="C35" i="9"/>
  <c r="D29" i="2" s="1"/>
  <c r="B35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AA20" i="9"/>
  <c r="R20" i="9"/>
  <c r="Q21" i="9" s="1"/>
  <c r="F20" i="9"/>
  <c r="K18" i="9"/>
  <c r="K33" i="9" s="1"/>
  <c r="J18" i="9"/>
  <c r="H18" i="9"/>
  <c r="G18" i="9"/>
  <c r="P16" i="9"/>
  <c r="O16" i="9"/>
  <c r="N16" i="9"/>
  <c r="K16" i="9"/>
  <c r="J16" i="9"/>
  <c r="I16" i="9"/>
  <c r="H16" i="9"/>
  <c r="G16" i="9"/>
  <c r="F16" i="9"/>
  <c r="E16" i="9"/>
  <c r="D16" i="9"/>
  <c r="C16" i="9"/>
  <c r="B16" i="9"/>
  <c r="H6" i="9"/>
  <c r="J5" i="9"/>
  <c r="R4" i="9"/>
  <c r="B1" i="9"/>
  <c r="O35" i="5"/>
  <c r="M35" i="5"/>
  <c r="N28" i="2" s="1"/>
  <c r="L35" i="5"/>
  <c r="M28" i="2" s="1"/>
  <c r="I35" i="5"/>
  <c r="J28" i="2" s="1"/>
  <c r="E35" i="5"/>
  <c r="F28" i="2" s="1"/>
  <c r="D35" i="5"/>
  <c r="E28" i="2" s="1"/>
  <c r="C35" i="5"/>
  <c r="B35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AA20" i="5"/>
  <c r="R20" i="5"/>
  <c r="Q21" i="5" s="1"/>
  <c r="F20" i="5"/>
  <c r="K18" i="5"/>
  <c r="K33" i="5" s="1"/>
  <c r="J18" i="5"/>
  <c r="H18" i="5"/>
  <c r="G18" i="5"/>
  <c r="G33" i="5" s="1"/>
  <c r="P16" i="5"/>
  <c r="O16" i="5"/>
  <c r="N16" i="5"/>
  <c r="K16" i="5"/>
  <c r="J16" i="5"/>
  <c r="I16" i="5"/>
  <c r="H16" i="5"/>
  <c r="G16" i="5"/>
  <c r="F16" i="5"/>
  <c r="E16" i="5"/>
  <c r="D16" i="5"/>
  <c r="C16" i="5"/>
  <c r="B16" i="5"/>
  <c r="H6" i="5"/>
  <c r="J5" i="5"/>
  <c r="R4" i="5"/>
  <c r="B1" i="5"/>
  <c r="O35" i="11"/>
  <c r="M35" i="11"/>
  <c r="L35" i="11"/>
  <c r="M27" i="2" s="1"/>
  <c r="I35" i="11"/>
  <c r="J27" i="2" s="1"/>
  <c r="E35" i="11"/>
  <c r="F27" i="2" s="1"/>
  <c r="D35" i="11"/>
  <c r="E27" i="2" s="1"/>
  <c r="C35" i="11"/>
  <c r="B35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AA20" i="11"/>
  <c r="AA21" i="11" s="1"/>
  <c r="R20" i="11"/>
  <c r="Q21" i="11" s="1"/>
  <c r="F20" i="11"/>
  <c r="K18" i="11"/>
  <c r="K33" i="11" s="1"/>
  <c r="J18" i="11"/>
  <c r="H18" i="11"/>
  <c r="G18" i="11"/>
  <c r="P16" i="11"/>
  <c r="O16" i="11"/>
  <c r="N16" i="11"/>
  <c r="K16" i="11"/>
  <c r="J16" i="11"/>
  <c r="I16" i="11"/>
  <c r="H16" i="11"/>
  <c r="G16" i="11"/>
  <c r="F16" i="11"/>
  <c r="E16" i="11"/>
  <c r="D16" i="11"/>
  <c r="C16" i="11"/>
  <c r="B16" i="11"/>
  <c r="H6" i="11"/>
  <c r="J5" i="11"/>
  <c r="R4" i="11"/>
  <c r="B1" i="11"/>
  <c r="O35" i="7"/>
  <c r="M35" i="7"/>
  <c r="N26" i="2" s="1"/>
  <c r="L35" i="7"/>
  <c r="M26" i="2" s="1"/>
  <c r="I35" i="7"/>
  <c r="E35" i="7"/>
  <c r="D35" i="7"/>
  <c r="E26" i="2" s="1"/>
  <c r="C35" i="7"/>
  <c r="D26" i="2" s="1"/>
  <c r="B35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AA20" i="7"/>
  <c r="AA21" i="7" s="1"/>
  <c r="R20" i="7"/>
  <c r="Q21" i="7" s="1"/>
  <c r="F20" i="7"/>
  <c r="K18" i="7"/>
  <c r="K33" i="7" s="1"/>
  <c r="J18" i="7"/>
  <c r="H18" i="7"/>
  <c r="G18" i="7"/>
  <c r="P16" i="7"/>
  <c r="O16" i="7"/>
  <c r="N16" i="7"/>
  <c r="K16" i="7"/>
  <c r="J16" i="7"/>
  <c r="I16" i="7"/>
  <c r="H16" i="7"/>
  <c r="G16" i="7"/>
  <c r="F16" i="7"/>
  <c r="E16" i="7"/>
  <c r="D16" i="7"/>
  <c r="C16" i="7"/>
  <c r="B16" i="7"/>
  <c r="H6" i="7"/>
  <c r="J5" i="7"/>
  <c r="R4" i="7"/>
  <c r="B1" i="7"/>
  <c r="O35" i="4"/>
  <c r="P25" i="2" s="1"/>
  <c r="M35" i="4"/>
  <c r="N25" i="2" s="1"/>
  <c r="L35" i="4"/>
  <c r="M25" i="2" s="1"/>
  <c r="I35" i="4"/>
  <c r="J25" i="2" s="1"/>
  <c r="E35" i="4"/>
  <c r="F25" i="2" s="1"/>
  <c r="D35" i="4"/>
  <c r="E25" i="2" s="1"/>
  <c r="C35" i="4"/>
  <c r="D25" i="2" s="1"/>
  <c r="B35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AA20" i="4"/>
  <c r="AA21" i="4" s="1"/>
  <c r="R20" i="4"/>
  <c r="Q21" i="4" s="1"/>
  <c r="F20" i="4"/>
  <c r="K18" i="4"/>
  <c r="K31" i="4" s="1"/>
  <c r="J18" i="4"/>
  <c r="H18" i="4"/>
  <c r="G18" i="4"/>
  <c r="G33" i="4" s="1"/>
  <c r="P16" i="4"/>
  <c r="O16" i="4"/>
  <c r="N16" i="4"/>
  <c r="K16" i="4"/>
  <c r="J16" i="4"/>
  <c r="I16" i="4"/>
  <c r="H16" i="4"/>
  <c r="G16" i="4"/>
  <c r="F16" i="4"/>
  <c r="D16" i="4"/>
  <c r="C16" i="4"/>
  <c r="B16" i="4"/>
  <c r="H6" i="4"/>
  <c r="J5" i="4"/>
  <c r="R4" i="4"/>
  <c r="B1" i="4"/>
  <c r="O35" i="3"/>
  <c r="P24" i="2" s="1"/>
  <c r="M35" i="3"/>
  <c r="N24" i="2" s="1"/>
  <c r="L35" i="3"/>
  <c r="M24" i="2" s="1"/>
  <c r="I35" i="3"/>
  <c r="E35" i="3"/>
  <c r="D35" i="3"/>
  <c r="E24" i="2" s="1"/>
  <c r="C35" i="3"/>
  <c r="B35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AA20" i="3"/>
  <c r="R20" i="3"/>
  <c r="Q21" i="3" s="1"/>
  <c r="F20" i="3"/>
  <c r="K18" i="3"/>
  <c r="K31" i="3" s="1"/>
  <c r="J18" i="3"/>
  <c r="H18" i="3"/>
  <c r="G18" i="3"/>
  <c r="N16" i="3"/>
  <c r="K16" i="3"/>
  <c r="J16" i="3"/>
  <c r="I16" i="3"/>
  <c r="H16" i="3"/>
  <c r="G16" i="3"/>
  <c r="F16" i="3"/>
  <c r="E16" i="3"/>
  <c r="D16" i="3"/>
  <c r="C16" i="3"/>
  <c r="B16" i="3"/>
  <c r="H6" i="3"/>
  <c r="J5" i="3"/>
  <c r="R4" i="3"/>
  <c r="N33" i="2"/>
  <c r="M33" i="2"/>
  <c r="J33" i="2"/>
  <c r="E33" i="2"/>
  <c r="D33" i="2"/>
  <c r="B33" i="2"/>
  <c r="M32" i="2"/>
  <c r="J32" i="2"/>
  <c r="F32" i="2"/>
  <c r="D32" i="2"/>
  <c r="B32" i="2"/>
  <c r="P31" i="2"/>
  <c r="N31" i="2"/>
  <c r="E31" i="2"/>
  <c r="B31" i="2"/>
  <c r="P30" i="2"/>
  <c r="M30" i="2"/>
  <c r="J30" i="2"/>
  <c r="F30" i="2"/>
  <c r="E30" i="2"/>
  <c r="D30" i="2"/>
  <c r="B30" i="2"/>
  <c r="P29" i="2"/>
  <c r="N29" i="2"/>
  <c r="J29" i="2"/>
  <c r="B29" i="2"/>
  <c r="P28" i="2"/>
  <c r="D28" i="2"/>
  <c r="B28" i="2"/>
  <c r="P27" i="2"/>
  <c r="N27" i="2"/>
  <c r="D27" i="2"/>
  <c r="B27" i="2"/>
  <c r="P26" i="2"/>
  <c r="J26" i="2"/>
  <c r="F26" i="2"/>
  <c r="B26" i="2"/>
  <c r="B25" i="2"/>
  <c r="J24" i="2"/>
  <c r="F24" i="2"/>
  <c r="B24" i="2"/>
  <c r="F27" i="10" l="1"/>
  <c r="C8" i="7"/>
  <c r="C8" i="14"/>
  <c r="I8" i="11"/>
  <c r="B29" i="10"/>
  <c r="M29" i="10"/>
  <c r="E29" i="10"/>
  <c r="F34" i="2"/>
  <c r="N34" i="2"/>
  <c r="D29" i="10"/>
  <c r="L29" i="10"/>
  <c r="E34" i="2"/>
  <c r="I8" i="9"/>
  <c r="G33" i="8"/>
  <c r="C8" i="4"/>
  <c r="I8" i="5"/>
  <c r="I8" i="12"/>
  <c r="C27" i="2"/>
  <c r="G22" i="8"/>
  <c r="I8" i="7"/>
  <c r="F35" i="9"/>
  <c r="G29" i="2" s="1"/>
  <c r="C8" i="9"/>
  <c r="I29" i="10"/>
  <c r="C26" i="2"/>
  <c r="C29" i="2"/>
  <c r="C8" i="5"/>
  <c r="I8" i="14"/>
  <c r="Q22" i="4"/>
  <c r="R22" i="4" s="1"/>
  <c r="Q22" i="7"/>
  <c r="R22" i="7" s="1"/>
  <c r="Q22" i="11"/>
  <c r="R22" i="11" s="1"/>
  <c r="Q22" i="8"/>
  <c r="R22" i="8" s="1"/>
  <c r="Q23" i="8" s="1"/>
  <c r="R23" i="8" s="1"/>
  <c r="Q24" i="8" s="1"/>
  <c r="R24" i="8" s="1"/>
  <c r="Q22" i="3"/>
  <c r="R22" i="3" s="1"/>
  <c r="S21" i="5"/>
  <c r="Q22" i="9"/>
  <c r="R22" i="9" s="1"/>
  <c r="Q22" i="12"/>
  <c r="R22" i="12" s="1"/>
  <c r="Q22" i="14"/>
  <c r="R22" i="14" s="1"/>
  <c r="C8" i="11"/>
  <c r="F26" i="10"/>
  <c r="I8" i="8"/>
  <c r="C8" i="12"/>
  <c r="F35" i="13"/>
  <c r="G32" i="2" s="1"/>
  <c r="I8" i="13"/>
  <c r="C28" i="2"/>
  <c r="F17" i="10"/>
  <c r="F19" i="10"/>
  <c r="F21" i="10"/>
  <c r="F23" i="10"/>
  <c r="F25" i="10"/>
  <c r="C29" i="10"/>
  <c r="F18" i="10"/>
  <c r="F20" i="10"/>
  <c r="F22" i="10"/>
  <c r="F24" i="10"/>
  <c r="S21" i="13"/>
  <c r="Q22" i="13"/>
  <c r="R22" i="13" s="1"/>
  <c r="Q23" i="13" s="1"/>
  <c r="R23" i="13" s="1"/>
  <c r="Q24" i="13" s="1"/>
  <c r="R24" i="13" s="1"/>
  <c r="Q25" i="13" s="1"/>
  <c r="R25" i="13" s="1"/>
  <c r="Q26" i="13" s="1"/>
  <c r="R26" i="13" s="1"/>
  <c r="Q27" i="13" s="1"/>
  <c r="R27" i="13" s="1"/>
  <c r="Q28" i="13" s="1"/>
  <c r="R28" i="13" s="1"/>
  <c r="S20" i="13"/>
  <c r="F35" i="7"/>
  <c r="G26" i="2" s="1"/>
  <c r="F35" i="11"/>
  <c r="G27" i="2" s="1"/>
  <c r="F35" i="12"/>
  <c r="G31" i="2" s="1"/>
  <c r="C31" i="2"/>
  <c r="I8" i="4"/>
  <c r="D24" i="2"/>
  <c r="D34" i="2" s="1"/>
  <c r="C8" i="3"/>
  <c r="C33" i="2"/>
  <c r="F35" i="14"/>
  <c r="G33" i="2" s="1"/>
  <c r="C24" i="2"/>
  <c r="S20" i="11"/>
  <c r="S20" i="5"/>
  <c r="G23" i="4"/>
  <c r="G24" i="4"/>
  <c r="G25" i="4"/>
  <c r="G26" i="4"/>
  <c r="G27" i="4"/>
  <c r="G28" i="4"/>
  <c r="G29" i="4"/>
  <c r="G30" i="4"/>
  <c r="G31" i="4"/>
  <c r="G32" i="4"/>
  <c r="G25" i="13"/>
  <c r="G26" i="13"/>
  <c r="G29" i="13"/>
  <c r="G30" i="13"/>
  <c r="G33" i="13"/>
  <c r="G22" i="12"/>
  <c r="G33" i="12"/>
  <c r="G32" i="3"/>
  <c r="G31" i="3"/>
  <c r="G30" i="3"/>
  <c r="G29" i="3"/>
  <c r="G28" i="3"/>
  <c r="G27" i="3"/>
  <c r="G20" i="3"/>
  <c r="G21" i="3"/>
  <c r="G22" i="3"/>
  <c r="G33" i="3"/>
  <c r="G32" i="7"/>
  <c r="G31" i="7"/>
  <c r="G30" i="7"/>
  <c r="G29" i="7"/>
  <c r="G28" i="7"/>
  <c r="G27" i="7"/>
  <c r="G26" i="7"/>
  <c r="G25" i="7"/>
  <c r="G24" i="7"/>
  <c r="G23" i="7"/>
  <c r="G20" i="7"/>
  <c r="G21" i="7"/>
  <c r="G22" i="7"/>
  <c r="G33" i="7"/>
  <c r="G32" i="11"/>
  <c r="G30" i="11"/>
  <c r="G27" i="11"/>
  <c r="G26" i="11"/>
  <c r="G23" i="11"/>
  <c r="G20" i="11"/>
  <c r="G21" i="11"/>
  <c r="G22" i="11"/>
  <c r="G31" i="11"/>
  <c r="G32" i="9"/>
  <c r="G31" i="9"/>
  <c r="G30" i="9"/>
  <c r="G29" i="9"/>
  <c r="G28" i="9"/>
  <c r="G27" i="9"/>
  <c r="G26" i="9"/>
  <c r="G25" i="9"/>
  <c r="G24" i="9"/>
  <c r="G23" i="9"/>
  <c r="G20" i="9"/>
  <c r="G21" i="9"/>
  <c r="G22" i="9"/>
  <c r="G33" i="9"/>
  <c r="G23" i="3"/>
  <c r="G24" i="3"/>
  <c r="G25" i="3"/>
  <c r="G26" i="3"/>
  <c r="G24" i="11"/>
  <c r="G25" i="11"/>
  <c r="G28" i="11"/>
  <c r="G29" i="11"/>
  <c r="G33" i="11"/>
  <c r="G32" i="5"/>
  <c r="G30" i="5"/>
  <c r="G29" i="5"/>
  <c r="G26" i="5"/>
  <c r="G25" i="5"/>
  <c r="G20" i="5"/>
  <c r="G21" i="5"/>
  <c r="G22" i="5"/>
  <c r="G23" i="5"/>
  <c r="G24" i="5"/>
  <c r="G27" i="5"/>
  <c r="G28" i="5"/>
  <c r="G31" i="5"/>
  <c r="G32" i="14"/>
  <c r="G31" i="14"/>
  <c r="G30" i="14"/>
  <c r="G29" i="14"/>
  <c r="G28" i="14"/>
  <c r="G27" i="14"/>
  <c r="G26" i="14"/>
  <c r="G25" i="14"/>
  <c r="G24" i="14"/>
  <c r="G23" i="14"/>
  <c r="G20" i="14"/>
  <c r="G21" i="14"/>
  <c r="G22" i="14"/>
  <c r="G33" i="14"/>
  <c r="G20" i="4"/>
  <c r="G21" i="4"/>
  <c r="G22" i="4"/>
  <c r="G20" i="8"/>
  <c r="G21" i="8"/>
  <c r="G23" i="8"/>
  <c r="G24" i="8"/>
  <c r="G25" i="8"/>
  <c r="G26" i="8"/>
  <c r="G27" i="8"/>
  <c r="G28" i="8"/>
  <c r="G29" i="8"/>
  <c r="G30" i="8"/>
  <c r="G31" i="8"/>
  <c r="G20" i="12"/>
  <c r="G21" i="12"/>
  <c r="G23" i="12"/>
  <c r="G24" i="12"/>
  <c r="G25" i="12"/>
  <c r="G26" i="12"/>
  <c r="G27" i="12"/>
  <c r="G28" i="12"/>
  <c r="G29" i="12"/>
  <c r="G30" i="12"/>
  <c r="G31" i="12"/>
  <c r="G20" i="13"/>
  <c r="G21" i="13"/>
  <c r="G22" i="13"/>
  <c r="G23" i="13"/>
  <c r="G24" i="13"/>
  <c r="G27" i="13"/>
  <c r="G28" i="13"/>
  <c r="G31" i="13"/>
  <c r="K20" i="11"/>
  <c r="K20" i="5"/>
  <c r="K29" i="9"/>
  <c r="K24" i="13"/>
  <c r="K25" i="13"/>
  <c r="K28" i="13"/>
  <c r="K29" i="13"/>
  <c r="K32" i="13"/>
  <c r="K33" i="13"/>
  <c r="K24" i="5"/>
  <c r="K25" i="5"/>
  <c r="K28" i="5"/>
  <c r="K29" i="5"/>
  <c r="K20" i="9"/>
  <c r="K25" i="9"/>
  <c r="K20" i="13"/>
  <c r="F15" i="10"/>
  <c r="F16" i="10"/>
  <c r="M34" i="2"/>
  <c r="J34" i="2"/>
  <c r="P34" i="2"/>
  <c r="F35" i="4"/>
  <c r="G25" i="2" s="1"/>
  <c r="K20" i="7"/>
  <c r="K25" i="7"/>
  <c r="K29" i="7"/>
  <c r="K22" i="11"/>
  <c r="K23" i="11"/>
  <c r="K24" i="11"/>
  <c r="K27" i="11"/>
  <c r="K28" i="11"/>
  <c r="K22" i="5"/>
  <c r="K22" i="9"/>
  <c r="K23" i="9"/>
  <c r="K27" i="9"/>
  <c r="K31" i="9"/>
  <c r="K22" i="13"/>
  <c r="K22" i="7"/>
  <c r="K23" i="7"/>
  <c r="K27" i="7"/>
  <c r="K31" i="7"/>
  <c r="K20" i="4"/>
  <c r="K24" i="4"/>
  <c r="K26" i="4"/>
  <c r="K28" i="4"/>
  <c r="K30" i="4"/>
  <c r="K32" i="4"/>
  <c r="K33" i="4"/>
  <c r="K21" i="7"/>
  <c r="K24" i="7"/>
  <c r="K26" i="7"/>
  <c r="K28" i="7"/>
  <c r="K30" i="7"/>
  <c r="K32" i="7"/>
  <c r="K21" i="11"/>
  <c r="K25" i="11"/>
  <c r="K26" i="11"/>
  <c r="K29" i="11"/>
  <c r="K30" i="11"/>
  <c r="K31" i="11"/>
  <c r="K32" i="11"/>
  <c r="K21" i="5"/>
  <c r="K23" i="5"/>
  <c r="K26" i="5"/>
  <c r="K27" i="5"/>
  <c r="K30" i="5"/>
  <c r="K31" i="5"/>
  <c r="K32" i="5"/>
  <c r="K21" i="9"/>
  <c r="K24" i="9"/>
  <c r="K26" i="9"/>
  <c r="K28" i="9"/>
  <c r="K30" i="9"/>
  <c r="K32" i="9"/>
  <c r="K20" i="8"/>
  <c r="K24" i="8"/>
  <c r="K26" i="8"/>
  <c r="K28" i="8"/>
  <c r="K30" i="8"/>
  <c r="K32" i="8"/>
  <c r="K33" i="8"/>
  <c r="K21" i="13"/>
  <c r="K23" i="13"/>
  <c r="K26" i="13"/>
  <c r="K27" i="13"/>
  <c r="K30" i="13"/>
  <c r="K20" i="14"/>
  <c r="K22" i="14"/>
  <c r="K23" i="14"/>
  <c r="K25" i="14"/>
  <c r="K27" i="14"/>
  <c r="K29" i="14"/>
  <c r="K31" i="14"/>
  <c r="K21" i="4"/>
  <c r="K22" i="4"/>
  <c r="K23" i="4"/>
  <c r="K25" i="4"/>
  <c r="K27" i="4"/>
  <c r="K29" i="4"/>
  <c r="K21" i="8"/>
  <c r="K22" i="8"/>
  <c r="K23" i="8"/>
  <c r="K25" i="8"/>
  <c r="K27" i="8"/>
  <c r="K29" i="8"/>
  <c r="K21" i="14"/>
  <c r="K24" i="14"/>
  <c r="K26" i="14"/>
  <c r="K28" i="14"/>
  <c r="K30" i="14"/>
  <c r="K32" i="14"/>
  <c r="O29" i="10"/>
  <c r="K21" i="3"/>
  <c r="K24" i="3"/>
  <c r="K26" i="3"/>
  <c r="K28" i="3"/>
  <c r="K30" i="3"/>
  <c r="K32" i="3"/>
  <c r="K33" i="3"/>
  <c r="K20" i="3"/>
  <c r="K22" i="3"/>
  <c r="K23" i="3"/>
  <c r="K25" i="3"/>
  <c r="K27" i="3"/>
  <c r="K29" i="3"/>
  <c r="K21" i="12"/>
  <c r="K22" i="12"/>
  <c r="K24" i="12"/>
  <c r="K26" i="12"/>
  <c r="K28" i="12"/>
  <c r="K30" i="12"/>
  <c r="K32" i="12"/>
  <c r="K33" i="12"/>
  <c r="K20" i="12"/>
  <c r="K23" i="12"/>
  <c r="K25" i="12"/>
  <c r="K27" i="12"/>
  <c r="K29" i="12"/>
  <c r="S20" i="12"/>
  <c r="S20" i="4"/>
  <c r="S21" i="7"/>
  <c r="S20" i="7"/>
  <c r="S21" i="9"/>
  <c r="S20" i="9"/>
  <c r="S20" i="3"/>
  <c r="S21" i="4"/>
  <c r="S21" i="11"/>
  <c r="S20" i="8"/>
  <c r="S21" i="8"/>
  <c r="S21" i="14"/>
  <c r="S20" i="14"/>
  <c r="AA22" i="4"/>
  <c r="AA22" i="7"/>
  <c r="AA22" i="11"/>
  <c r="F35" i="3"/>
  <c r="G24" i="2" s="1"/>
  <c r="F14" i="10"/>
  <c r="C25" i="2"/>
  <c r="F35" i="5"/>
  <c r="G28" i="2" s="1"/>
  <c r="AA21" i="5"/>
  <c r="AA21" i="9"/>
  <c r="AA23" i="8"/>
  <c r="F35" i="8"/>
  <c r="G30" i="2" s="1"/>
  <c r="AA23" i="12"/>
  <c r="C8" i="8"/>
  <c r="C8" i="13"/>
  <c r="AA21" i="13"/>
  <c r="AA21" i="14"/>
  <c r="AA21" i="3"/>
  <c r="S21" i="3"/>
  <c r="S25" i="13" l="1"/>
  <c r="S23" i="13"/>
  <c r="S21" i="12"/>
  <c r="Q23" i="7"/>
  <c r="R23" i="7" s="1"/>
  <c r="S22" i="7"/>
  <c r="Q22" i="5"/>
  <c r="R22" i="5" s="1"/>
  <c r="S24" i="13"/>
  <c r="S26" i="13"/>
  <c r="Q23" i="3"/>
  <c r="R23" i="3" s="1"/>
  <c r="S22" i="3"/>
  <c r="Q25" i="8"/>
  <c r="R25" i="8" s="1"/>
  <c r="S24" i="8"/>
  <c r="Q23" i="11"/>
  <c r="R23" i="11" s="1"/>
  <c r="S22" i="11"/>
  <c r="Q23" i="14"/>
  <c r="R23" i="14" s="1"/>
  <c r="S22" i="14"/>
  <c r="Q23" i="12"/>
  <c r="R23" i="12" s="1"/>
  <c r="S22" i="12"/>
  <c r="Q23" i="9"/>
  <c r="R23" i="9" s="1"/>
  <c r="S22" i="9"/>
  <c r="Q23" i="4"/>
  <c r="R23" i="4" s="1"/>
  <c r="S22" i="4"/>
  <c r="Q29" i="13"/>
  <c r="R29" i="13" s="1"/>
  <c r="S28" i="13"/>
  <c r="S22" i="8"/>
  <c r="S23" i="8"/>
  <c r="G23" i="10"/>
  <c r="G17" i="10"/>
  <c r="G21" i="10"/>
  <c r="G19" i="10"/>
  <c r="F29" i="10"/>
  <c r="C34" i="2"/>
  <c r="S27" i="13"/>
  <c r="S22" i="13"/>
  <c r="K35" i="7"/>
  <c r="L26" i="2" s="1"/>
  <c r="G14" i="10"/>
  <c r="G25" i="10"/>
  <c r="K25" i="10"/>
  <c r="K35" i="5"/>
  <c r="L28" i="2" s="1"/>
  <c r="K14" i="10"/>
  <c r="K16" i="10"/>
  <c r="K35" i="9"/>
  <c r="L29" i="2" s="1"/>
  <c r="K35" i="11"/>
  <c r="L27" i="2" s="1"/>
  <c r="G35" i="4"/>
  <c r="G20" i="10"/>
  <c r="G18" i="10"/>
  <c r="G35" i="3"/>
  <c r="G22" i="10"/>
  <c r="G24" i="10"/>
  <c r="G35" i="13"/>
  <c r="G35" i="8"/>
  <c r="G35" i="7"/>
  <c r="G16" i="10"/>
  <c r="G26" i="10"/>
  <c r="G35" i="12"/>
  <c r="G35" i="14"/>
  <c r="G35" i="5"/>
  <c r="G35" i="9"/>
  <c r="G35" i="11"/>
  <c r="G27" i="10"/>
  <c r="G15" i="10"/>
  <c r="K35" i="13"/>
  <c r="L32" i="2" s="1"/>
  <c r="K15" i="10"/>
  <c r="K27" i="10"/>
  <c r="K35" i="14"/>
  <c r="L33" i="2" s="1"/>
  <c r="K35" i="8"/>
  <c r="L30" i="2" s="1"/>
  <c r="K35" i="3"/>
  <c r="L24" i="2" s="1"/>
  <c r="K35" i="4"/>
  <c r="L25" i="2" s="1"/>
  <c r="K21" i="10"/>
  <c r="K17" i="10"/>
  <c r="K24" i="10"/>
  <c r="K20" i="10"/>
  <c r="K23" i="10"/>
  <c r="K19" i="10"/>
  <c r="K26" i="10"/>
  <c r="K22" i="10"/>
  <c r="K18" i="10"/>
  <c r="K35" i="12"/>
  <c r="L31" i="2" s="1"/>
  <c r="AA22" i="13"/>
  <c r="AA24" i="12"/>
  <c r="AA22" i="5"/>
  <c r="G34" i="2"/>
  <c r="AA23" i="11"/>
  <c r="AA23" i="4"/>
  <c r="AA22" i="14"/>
  <c r="AA24" i="8"/>
  <c r="AA22" i="9"/>
  <c r="AA23" i="7"/>
  <c r="AA22" i="3"/>
  <c r="H31" i="2" l="1"/>
  <c r="H25" i="2"/>
  <c r="H24" i="2"/>
  <c r="Q23" i="5"/>
  <c r="R23" i="5" s="1"/>
  <c r="S22" i="5"/>
  <c r="Q24" i="7"/>
  <c r="R24" i="7" s="1"/>
  <c r="S23" i="7"/>
  <c r="Q24" i="14"/>
  <c r="R24" i="14" s="1"/>
  <c r="S23" i="14"/>
  <c r="Q24" i="4"/>
  <c r="R24" i="4" s="1"/>
  <c r="S23" i="4"/>
  <c r="Q24" i="11"/>
  <c r="R24" i="11" s="1"/>
  <c r="S23" i="11"/>
  <c r="Q24" i="9"/>
  <c r="R24" i="9" s="1"/>
  <c r="S23" i="9"/>
  <c r="Q26" i="8"/>
  <c r="R26" i="8" s="1"/>
  <c r="S25" i="8"/>
  <c r="Q24" i="12"/>
  <c r="R24" i="12" s="1"/>
  <c r="S23" i="12"/>
  <c r="Q24" i="3"/>
  <c r="R24" i="3" s="1"/>
  <c r="S23" i="3"/>
  <c r="Q30" i="13"/>
  <c r="R30" i="13" s="1"/>
  <c r="S29" i="13"/>
  <c r="G29" i="10"/>
  <c r="H29" i="2"/>
  <c r="H33" i="2"/>
  <c r="H26" i="2"/>
  <c r="H32" i="2"/>
  <c r="H27" i="2"/>
  <c r="H28" i="2"/>
  <c r="H30" i="2"/>
  <c r="K29" i="10"/>
  <c r="L34" i="2"/>
  <c r="AA25" i="8"/>
  <c r="AA23" i="14"/>
  <c r="AA25" i="12"/>
  <c r="AA23" i="13"/>
  <c r="AA24" i="7"/>
  <c r="AA23" i="9"/>
  <c r="AA24" i="4"/>
  <c r="AA24" i="11"/>
  <c r="AA23" i="5"/>
  <c r="AA23" i="3"/>
  <c r="Q25" i="7" l="1"/>
  <c r="R25" i="7" s="1"/>
  <c r="S24" i="7"/>
  <c r="Q24" i="5"/>
  <c r="R24" i="5" s="1"/>
  <c r="S23" i="5"/>
  <c r="Q25" i="3"/>
  <c r="R25" i="3" s="1"/>
  <c r="S24" i="3"/>
  <c r="Q25" i="11"/>
  <c r="R25" i="11" s="1"/>
  <c r="S24" i="11"/>
  <c r="Q25" i="12"/>
  <c r="R25" i="12" s="1"/>
  <c r="S24" i="12"/>
  <c r="Q25" i="4"/>
  <c r="R25" i="4" s="1"/>
  <c r="S24" i="4"/>
  <c r="Q25" i="9"/>
  <c r="R25" i="9" s="1"/>
  <c r="S24" i="9"/>
  <c r="Q27" i="8"/>
  <c r="R27" i="8" s="1"/>
  <c r="S26" i="8"/>
  <c r="Q25" i="14"/>
  <c r="R25" i="14" s="1"/>
  <c r="S24" i="14"/>
  <c r="S30" i="13"/>
  <c r="Q31" i="13"/>
  <c r="R31" i="13" s="1"/>
  <c r="F13" i="13" s="1"/>
  <c r="F11" i="13" s="1"/>
  <c r="G12" i="13" s="1"/>
  <c r="H34" i="2"/>
  <c r="AA24" i="5"/>
  <c r="AA25" i="11"/>
  <c r="AA25" i="7"/>
  <c r="AA24" i="13"/>
  <c r="AA26" i="12"/>
  <c r="AA26" i="8"/>
  <c r="AA25" i="4"/>
  <c r="AA24" i="9"/>
  <c r="AA24" i="14"/>
  <c r="AA24" i="3"/>
  <c r="J35" i="2" l="1"/>
  <c r="G11" i="13"/>
  <c r="Q25" i="5"/>
  <c r="R25" i="5" s="1"/>
  <c r="S24" i="5"/>
  <c r="Q26" i="7"/>
  <c r="R26" i="7" s="1"/>
  <c r="S25" i="7"/>
  <c r="Q26" i="9"/>
  <c r="R26" i="9" s="1"/>
  <c r="S25" i="9"/>
  <c r="Q26" i="11"/>
  <c r="R26" i="11" s="1"/>
  <c r="S25" i="11"/>
  <c r="Q26" i="4"/>
  <c r="R26" i="4" s="1"/>
  <c r="S25" i="4"/>
  <c r="Q28" i="8"/>
  <c r="R28" i="8" s="1"/>
  <c r="S27" i="8"/>
  <c r="Q26" i="3"/>
  <c r="R26" i="3" s="1"/>
  <c r="S25" i="3"/>
  <c r="Q26" i="14"/>
  <c r="R26" i="14" s="1"/>
  <c r="S25" i="14"/>
  <c r="Q26" i="12"/>
  <c r="R26" i="12" s="1"/>
  <c r="S25" i="12"/>
  <c r="R5" i="13"/>
  <c r="S39" i="13"/>
  <c r="S31" i="13"/>
  <c r="J4" i="13"/>
  <c r="G35" i="2"/>
  <c r="AA25" i="9"/>
  <c r="AA27" i="8"/>
  <c r="AA25" i="13"/>
  <c r="AA26" i="7"/>
  <c r="AA25" i="5"/>
  <c r="AA25" i="14"/>
  <c r="AA26" i="4"/>
  <c r="AA27" i="12"/>
  <c r="AA26" i="11"/>
  <c r="AA25" i="3"/>
  <c r="Q27" i="7" l="1"/>
  <c r="R27" i="7" s="1"/>
  <c r="S26" i="7"/>
  <c r="Q26" i="5"/>
  <c r="R26" i="5" s="1"/>
  <c r="S25" i="5"/>
  <c r="Q27" i="4"/>
  <c r="R27" i="4" s="1"/>
  <c r="S26" i="4"/>
  <c r="Q27" i="11"/>
  <c r="R27" i="11" s="1"/>
  <c r="S26" i="11"/>
  <c r="Q27" i="14"/>
  <c r="R27" i="14" s="1"/>
  <c r="S26" i="14"/>
  <c r="Q27" i="3"/>
  <c r="R27" i="3" s="1"/>
  <c r="S26" i="3"/>
  <c r="Q27" i="12"/>
  <c r="R27" i="12" s="1"/>
  <c r="S26" i="12"/>
  <c r="Q29" i="8"/>
  <c r="R29" i="8" s="1"/>
  <c r="S28" i="8"/>
  <c r="Q27" i="9"/>
  <c r="R27" i="9" s="1"/>
  <c r="S26" i="9"/>
  <c r="T31" i="13"/>
  <c r="U31" i="13" s="1"/>
  <c r="T21" i="13"/>
  <c r="T22" i="13"/>
  <c r="U22" i="13" s="1"/>
  <c r="T28" i="13"/>
  <c r="U28" i="13" s="1"/>
  <c r="T25" i="13"/>
  <c r="U25" i="13" s="1"/>
  <c r="T23" i="13"/>
  <c r="U23" i="13" s="1"/>
  <c r="T20" i="13"/>
  <c r="U20" i="13" s="1"/>
  <c r="T24" i="13"/>
  <c r="U24" i="13" s="1"/>
  <c r="T26" i="13"/>
  <c r="U26" i="13" s="1"/>
  <c r="T29" i="13"/>
  <c r="U29" i="13" s="1"/>
  <c r="T27" i="13"/>
  <c r="U27" i="13" s="1"/>
  <c r="T30" i="13"/>
  <c r="U30" i="13" s="1"/>
  <c r="AA27" i="11"/>
  <c r="AA28" i="12"/>
  <c r="AA27" i="4"/>
  <c r="AA26" i="14"/>
  <c r="AA26" i="5"/>
  <c r="AA26" i="13"/>
  <c r="AA26" i="9"/>
  <c r="AA27" i="7"/>
  <c r="AA28" i="8"/>
  <c r="AA26" i="3"/>
  <c r="Q27" i="5" l="1"/>
  <c r="R27" i="5" s="1"/>
  <c r="S26" i="5"/>
  <c r="Q28" i="7"/>
  <c r="R28" i="7" s="1"/>
  <c r="S27" i="7"/>
  <c r="Q28" i="14"/>
  <c r="R28" i="14" s="1"/>
  <c r="S27" i="14"/>
  <c r="Q30" i="8"/>
  <c r="R30" i="8" s="1"/>
  <c r="S29" i="8"/>
  <c r="Q28" i="12"/>
  <c r="R28" i="12" s="1"/>
  <c r="S27" i="12"/>
  <c r="Q28" i="9"/>
  <c r="R28" i="9" s="1"/>
  <c r="S27" i="9"/>
  <c r="Q28" i="3"/>
  <c r="R28" i="3" s="1"/>
  <c r="S27" i="3"/>
  <c r="Q28" i="11"/>
  <c r="R28" i="11" s="1"/>
  <c r="S27" i="11"/>
  <c r="Q28" i="4"/>
  <c r="R28" i="4" s="1"/>
  <c r="S27" i="4"/>
  <c r="V20" i="13"/>
  <c r="U35" i="13"/>
  <c r="AA29" i="8"/>
  <c r="AA27" i="5"/>
  <c r="AA27" i="14"/>
  <c r="AA28" i="11"/>
  <c r="AA28" i="7"/>
  <c r="AA27" i="9"/>
  <c r="AA27" i="13"/>
  <c r="AA28" i="4"/>
  <c r="AA29" i="12"/>
  <c r="AA27" i="3"/>
  <c r="Q29" i="7" l="1"/>
  <c r="R29" i="7" s="1"/>
  <c r="S28" i="7"/>
  <c r="Q28" i="5"/>
  <c r="R28" i="5" s="1"/>
  <c r="S27" i="5"/>
  <c r="S30" i="8"/>
  <c r="Q31" i="8"/>
  <c r="R31" i="8" s="1"/>
  <c r="F13" i="8" s="1"/>
  <c r="F11" i="8" s="1"/>
  <c r="Q29" i="4"/>
  <c r="R29" i="4" s="1"/>
  <c r="S28" i="4"/>
  <c r="Q29" i="3"/>
  <c r="R29" i="3" s="1"/>
  <c r="S28" i="3"/>
  <c r="Q29" i="14"/>
  <c r="R29" i="14" s="1"/>
  <c r="S28" i="14"/>
  <c r="Q29" i="12"/>
  <c r="R29" i="12" s="1"/>
  <c r="S28" i="12"/>
  <c r="Q29" i="9"/>
  <c r="R29" i="9" s="1"/>
  <c r="S28" i="9"/>
  <c r="Q29" i="11"/>
  <c r="R29" i="11" s="1"/>
  <c r="S28" i="11"/>
  <c r="V21" i="13"/>
  <c r="AB20" i="13"/>
  <c r="AC20" i="13" s="1"/>
  <c r="AA30" i="12"/>
  <c r="AA28" i="9"/>
  <c r="AA29" i="11"/>
  <c r="AA28" i="5"/>
  <c r="AA29" i="4"/>
  <c r="AA28" i="13"/>
  <c r="AA29" i="7"/>
  <c r="AA28" i="14"/>
  <c r="AA30" i="8"/>
  <c r="AA28" i="3"/>
  <c r="G11" i="8" l="1"/>
  <c r="G12" i="8"/>
  <c r="Q29" i="5"/>
  <c r="R29" i="5" s="1"/>
  <c r="S28" i="5"/>
  <c r="Q30" i="7"/>
  <c r="R30" i="7" s="1"/>
  <c r="S29" i="7"/>
  <c r="Q30" i="3"/>
  <c r="R30" i="3" s="1"/>
  <c r="S29" i="3"/>
  <c r="Q30" i="12"/>
  <c r="R30" i="12" s="1"/>
  <c r="S29" i="12"/>
  <c r="Q30" i="4"/>
  <c r="R30" i="4" s="1"/>
  <c r="S29" i="4"/>
  <c r="R5" i="8"/>
  <c r="S39" i="8"/>
  <c r="J4" i="8"/>
  <c r="S31" i="8"/>
  <c r="Q30" i="11"/>
  <c r="R30" i="11" s="1"/>
  <c r="S29" i="11"/>
  <c r="Q30" i="14"/>
  <c r="R30" i="14" s="1"/>
  <c r="S29" i="14"/>
  <c r="Q30" i="9"/>
  <c r="R30" i="9" s="1"/>
  <c r="S29" i="9"/>
  <c r="X20" i="13"/>
  <c r="W20" i="13"/>
  <c r="V22" i="13"/>
  <c r="AB21" i="13"/>
  <c r="AC21" i="13" s="1"/>
  <c r="AA31" i="8"/>
  <c r="AA29" i="14"/>
  <c r="AA30" i="7"/>
  <c r="AA29" i="13"/>
  <c r="AA31" i="12"/>
  <c r="AA30" i="4"/>
  <c r="AA29" i="5"/>
  <c r="AA30" i="11"/>
  <c r="AA29" i="9"/>
  <c r="AA29" i="3"/>
  <c r="T31" i="8" l="1"/>
  <c r="U31" i="8" s="1"/>
  <c r="Q31" i="7"/>
  <c r="R31" i="7" s="1"/>
  <c r="F13" i="7" s="1"/>
  <c r="F11" i="7" s="1"/>
  <c r="S30" i="7"/>
  <c r="Q30" i="5"/>
  <c r="R30" i="5" s="1"/>
  <c r="S29" i="5"/>
  <c r="Q31" i="4"/>
  <c r="R31" i="4" s="1"/>
  <c r="F11" i="4" s="1"/>
  <c r="S30" i="4"/>
  <c r="Q31" i="12"/>
  <c r="R31" i="12" s="1"/>
  <c r="F13" i="12" s="1"/>
  <c r="F11" i="12" s="1"/>
  <c r="G12" i="12" s="1"/>
  <c r="S30" i="12"/>
  <c r="T21" i="8"/>
  <c r="T23" i="8"/>
  <c r="U23" i="8" s="1"/>
  <c r="T26" i="8"/>
  <c r="U26" i="8" s="1"/>
  <c r="T24" i="8"/>
  <c r="U24" i="8" s="1"/>
  <c r="T25" i="8"/>
  <c r="U25" i="8" s="1"/>
  <c r="T20" i="8"/>
  <c r="U20" i="8" s="1"/>
  <c r="T27" i="8"/>
  <c r="U27" i="8" s="1"/>
  <c r="T29" i="8"/>
  <c r="U29" i="8" s="1"/>
  <c r="T22" i="8"/>
  <c r="U22" i="8" s="1"/>
  <c r="T28" i="8"/>
  <c r="U28" i="8" s="1"/>
  <c r="Q31" i="11"/>
  <c r="R31" i="11" s="1"/>
  <c r="F13" i="11" s="1"/>
  <c r="F11" i="11" s="1"/>
  <c r="S30" i="11"/>
  <c r="Q31" i="9"/>
  <c r="R31" i="9" s="1"/>
  <c r="F13" i="9" s="1"/>
  <c r="F11" i="9" s="1"/>
  <c r="S30" i="9"/>
  <c r="T30" i="8"/>
  <c r="U30" i="8" s="1"/>
  <c r="Q31" i="14"/>
  <c r="R31" i="14" s="1"/>
  <c r="F13" i="14" s="1"/>
  <c r="F11" i="14" s="1"/>
  <c r="G12" i="14" s="1"/>
  <c r="S30" i="14"/>
  <c r="Q31" i="3"/>
  <c r="R31" i="3" s="1"/>
  <c r="S30" i="3"/>
  <c r="V23" i="13"/>
  <c r="AB22" i="13"/>
  <c r="AC22" i="13" s="1"/>
  <c r="Z20" i="13"/>
  <c r="J20" i="13"/>
  <c r="Y20" i="13"/>
  <c r="H20" i="13"/>
  <c r="N20" i="13" s="1"/>
  <c r="AA30" i="5"/>
  <c r="AA31" i="4"/>
  <c r="AA30" i="13"/>
  <c r="AA31" i="7"/>
  <c r="AA30" i="9"/>
  <c r="AA31" i="11"/>
  <c r="AA32" i="12"/>
  <c r="AA30" i="14"/>
  <c r="AA32" i="8"/>
  <c r="AA30" i="3"/>
  <c r="F11" i="3" l="1"/>
  <c r="S39" i="3"/>
  <c r="G11" i="12"/>
  <c r="G12" i="4"/>
  <c r="G11" i="4"/>
  <c r="G12" i="11"/>
  <c r="G11" i="11"/>
  <c r="G12" i="7"/>
  <c r="G11" i="7"/>
  <c r="G11" i="9"/>
  <c r="G12" i="9"/>
  <c r="G11" i="14"/>
  <c r="P20" i="13"/>
  <c r="Q31" i="5"/>
  <c r="R31" i="5" s="1"/>
  <c r="F13" i="5" s="1"/>
  <c r="F11" i="5" s="1"/>
  <c r="S30" i="5"/>
  <c r="R5" i="7"/>
  <c r="S31" i="7"/>
  <c r="J4" i="7"/>
  <c r="S39" i="7"/>
  <c r="V20" i="8"/>
  <c r="U35" i="8"/>
  <c r="R5" i="3"/>
  <c r="J4" i="3"/>
  <c r="S31" i="3"/>
  <c r="R5" i="9"/>
  <c r="T30" i="9" s="1"/>
  <c r="U30" i="9" s="1"/>
  <c r="J4" i="9"/>
  <c r="S31" i="9"/>
  <c r="S39" i="9"/>
  <c r="R5" i="14"/>
  <c r="T30" i="14" s="1"/>
  <c r="U30" i="14" s="1"/>
  <c r="S31" i="14"/>
  <c r="J4" i="14"/>
  <c r="S39" i="14"/>
  <c r="R5" i="11"/>
  <c r="J4" i="11"/>
  <c r="S31" i="11"/>
  <c r="S39" i="11"/>
  <c r="R5" i="12"/>
  <c r="T30" i="12" s="1"/>
  <c r="U30" i="12" s="1"/>
  <c r="J4" i="12"/>
  <c r="S31" i="12"/>
  <c r="S39" i="12"/>
  <c r="R5" i="4"/>
  <c r="T30" i="4" s="1"/>
  <c r="U30" i="4" s="1"/>
  <c r="J4" i="4"/>
  <c r="S39" i="4"/>
  <c r="S31" i="4"/>
  <c r="X21" i="13"/>
  <c r="W21" i="13"/>
  <c r="Y21" i="13" s="1"/>
  <c r="W22" i="13" s="1"/>
  <c r="AB23" i="13"/>
  <c r="V24" i="13"/>
  <c r="AA33" i="8"/>
  <c r="AA31" i="14"/>
  <c r="AA33" i="12"/>
  <c r="AA31" i="9"/>
  <c r="AA31" i="13"/>
  <c r="AA31" i="5"/>
  <c r="AA32" i="11"/>
  <c r="AA32" i="7"/>
  <c r="AA32" i="4"/>
  <c r="AA31" i="3"/>
  <c r="G11" i="3" l="1"/>
  <c r="G12" i="3"/>
  <c r="T31" i="14"/>
  <c r="U31" i="14" s="1"/>
  <c r="G12" i="5"/>
  <c r="G11" i="5"/>
  <c r="T31" i="7"/>
  <c r="U31" i="7" s="1"/>
  <c r="T22" i="7"/>
  <c r="U22" i="7" s="1"/>
  <c r="T20" i="7"/>
  <c r="U20" i="7" s="1"/>
  <c r="T21" i="7"/>
  <c r="T23" i="7"/>
  <c r="U23" i="7" s="1"/>
  <c r="T24" i="7"/>
  <c r="U24" i="7" s="1"/>
  <c r="T25" i="7"/>
  <c r="U25" i="7" s="1"/>
  <c r="T26" i="7"/>
  <c r="U26" i="7" s="1"/>
  <c r="T27" i="7"/>
  <c r="U27" i="7" s="1"/>
  <c r="T28" i="7"/>
  <c r="U28" i="7" s="1"/>
  <c r="T29" i="7"/>
  <c r="U29" i="7" s="1"/>
  <c r="R5" i="5"/>
  <c r="J4" i="5"/>
  <c r="S31" i="5"/>
  <c r="S39" i="5"/>
  <c r="T30" i="7"/>
  <c r="U30" i="7" s="1"/>
  <c r="T31" i="9"/>
  <c r="U31" i="9" s="1"/>
  <c r="T31" i="11"/>
  <c r="U31" i="11" s="1"/>
  <c r="T22" i="4"/>
  <c r="U22" i="4" s="1"/>
  <c r="T21" i="4"/>
  <c r="T20" i="4"/>
  <c r="U20" i="4" s="1"/>
  <c r="T23" i="4"/>
  <c r="U23" i="4" s="1"/>
  <c r="T24" i="4"/>
  <c r="U24" i="4" s="1"/>
  <c r="T25" i="4"/>
  <c r="U25" i="4" s="1"/>
  <c r="T26" i="4"/>
  <c r="U26" i="4" s="1"/>
  <c r="T27" i="4"/>
  <c r="U27" i="4" s="1"/>
  <c r="T28" i="4"/>
  <c r="U28" i="4" s="1"/>
  <c r="T29" i="4"/>
  <c r="U29" i="4" s="1"/>
  <c r="T31" i="3"/>
  <c r="U31" i="3" s="1"/>
  <c r="T20" i="11"/>
  <c r="U20" i="11" s="1"/>
  <c r="T21" i="11"/>
  <c r="T22" i="11"/>
  <c r="U22" i="11" s="1"/>
  <c r="T23" i="11"/>
  <c r="U23" i="11" s="1"/>
  <c r="T24" i="11"/>
  <c r="U24" i="11" s="1"/>
  <c r="T25" i="11"/>
  <c r="U25" i="11" s="1"/>
  <c r="T26" i="11"/>
  <c r="U26" i="11" s="1"/>
  <c r="T27" i="11"/>
  <c r="U27" i="11" s="1"/>
  <c r="T28" i="11"/>
  <c r="U28" i="11" s="1"/>
  <c r="T29" i="11"/>
  <c r="U29" i="11" s="1"/>
  <c r="T30" i="11"/>
  <c r="U30" i="11" s="1"/>
  <c r="T20" i="3"/>
  <c r="U20" i="3" s="1"/>
  <c r="T22" i="3"/>
  <c r="U22" i="3" s="1"/>
  <c r="T21" i="3"/>
  <c r="U21" i="3" s="1"/>
  <c r="T23" i="3"/>
  <c r="U23" i="3" s="1"/>
  <c r="T24" i="3"/>
  <c r="U24" i="3" s="1"/>
  <c r="T25" i="3"/>
  <c r="U25" i="3" s="1"/>
  <c r="T26" i="3"/>
  <c r="U26" i="3" s="1"/>
  <c r="T27" i="3"/>
  <c r="U27" i="3" s="1"/>
  <c r="T28" i="3"/>
  <c r="U28" i="3" s="1"/>
  <c r="T29" i="3"/>
  <c r="U29" i="3" s="1"/>
  <c r="T31" i="12"/>
  <c r="U31" i="12" s="1"/>
  <c r="AB20" i="8"/>
  <c r="V21" i="8"/>
  <c r="T31" i="4"/>
  <c r="U31" i="4" s="1"/>
  <c r="T21" i="12"/>
  <c r="T22" i="12"/>
  <c r="U22" i="12" s="1"/>
  <c r="T20" i="12"/>
  <c r="U20" i="12" s="1"/>
  <c r="T23" i="12"/>
  <c r="U23" i="12" s="1"/>
  <c r="T24" i="12"/>
  <c r="U24" i="12" s="1"/>
  <c r="T25" i="12"/>
  <c r="U25" i="12" s="1"/>
  <c r="T26" i="12"/>
  <c r="U26" i="12" s="1"/>
  <c r="T27" i="12"/>
  <c r="U27" i="12" s="1"/>
  <c r="T28" i="12"/>
  <c r="U28" i="12" s="1"/>
  <c r="T29" i="12"/>
  <c r="U29" i="12" s="1"/>
  <c r="T21" i="14"/>
  <c r="T20" i="14"/>
  <c r="U20" i="14" s="1"/>
  <c r="T22" i="14"/>
  <c r="U22" i="14" s="1"/>
  <c r="T23" i="14"/>
  <c r="U23" i="14" s="1"/>
  <c r="T24" i="14"/>
  <c r="U24" i="14" s="1"/>
  <c r="T25" i="14"/>
  <c r="U25" i="14" s="1"/>
  <c r="T26" i="14"/>
  <c r="U26" i="14" s="1"/>
  <c r="T27" i="14"/>
  <c r="U27" i="14" s="1"/>
  <c r="T28" i="14"/>
  <c r="U28" i="14" s="1"/>
  <c r="T29" i="14"/>
  <c r="U29" i="14" s="1"/>
  <c r="T21" i="9"/>
  <c r="T20" i="9"/>
  <c r="U20" i="9" s="1"/>
  <c r="T22" i="9"/>
  <c r="U22" i="9" s="1"/>
  <c r="T23" i="9"/>
  <c r="U23" i="9" s="1"/>
  <c r="T24" i="9"/>
  <c r="U24" i="9" s="1"/>
  <c r="T25" i="9"/>
  <c r="U25" i="9" s="1"/>
  <c r="T26" i="9"/>
  <c r="U26" i="9" s="1"/>
  <c r="T27" i="9"/>
  <c r="U27" i="9" s="1"/>
  <c r="T28" i="9"/>
  <c r="U28" i="9" s="1"/>
  <c r="T29" i="9"/>
  <c r="U29" i="9" s="1"/>
  <c r="T30" i="3"/>
  <c r="U30" i="3" s="1"/>
  <c r="Z21" i="13"/>
  <c r="X22" i="13" s="1"/>
  <c r="Y22" i="13"/>
  <c r="J22" i="13"/>
  <c r="H22" i="13"/>
  <c r="N22" i="13" s="1"/>
  <c r="AC23" i="13"/>
  <c r="AB24" i="13"/>
  <c r="AC24" i="13" s="1"/>
  <c r="V25" i="13"/>
  <c r="H21" i="13"/>
  <c r="J21" i="13"/>
  <c r="AA33" i="4"/>
  <c r="AA33" i="7"/>
  <c r="AA33" i="11"/>
  <c r="AA32" i="5"/>
  <c r="AA32" i="14"/>
  <c r="AA32" i="13"/>
  <c r="AA32" i="9"/>
  <c r="AA32" i="3"/>
  <c r="N21" i="13" l="1"/>
  <c r="P21" i="13" s="1"/>
  <c r="W20" i="8"/>
  <c r="J20" i="8" s="1"/>
  <c r="AC20" i="8"/>
  <c r="X20" i="8" s="1"/>
  <c r="T31" i="5"/>
  <c r="U31" i="5" s="1"/>
  <c r="T21" i="5"/>
  <c r="T20" i="5"/>
  <c r="U20" i="5" s="1"/>
  <c r="T22" i="5"/>
  <c r="U22" i="5" s="1"/>
  <c r="T23" i="5"/>
  <c r="U23" i="5" s="1"/>
  <c r="T24" i="5"/>
  <c r="U24" i="5" s="1"/>
  <c r="T25" i="5"/>
  <c r="U25" i="5" s="1"/>
  <c r="T26" i="5"/>
  <c r="U26" i="5" s="1"/>
  <c r="T27" i="5"/>
  <c r="U27" i="5" s="1"/>
  <c r="T28" i="5"/>
  <c r="U28" i="5" s="1"/>
  <c r="T29" i="5"/>
  <c r="U29" i="5" s="1"/>
  <c r="V20" i="7"/>
  <c r="U35" i="7"/>
  <c r="T30" i="5"/>
  <c r="U30" i="5" s="1"/>
  <c r="V22" i="8"/>
  <c r="AB21" i="8"/>
  <c r="AC21" i="8" s="1"/>
  <c r="U35" i="4"/>
  <c r="V20" i="4"/>
  <c r="U35" i="14"/>
  <c r="V20" i="14"/>
  <c r="V20" i="3"/>
  <c r="U35" i="3"/>
  <c r="V20" i="11"/>
  <c r="U35" i="11"/>
  <c r="V20" i="12"/>
  <c r="U35" i="12"/>
  <c r="V20" i="9"/>
  <c r="U35" i="9"/>
  <c r="Z22" i="13"/>
  <c r="X23" i="13" s="1"/>
  <c r="P22" i="13"/>
  <c r="V26" i="13"/>
  <c r="AB25" i="13"/>
  <c r="W23" i="13"/>
  <c r="Y23" i="13" s="1"/>
  <c r="W24" i="13" s="1"/>
  <c r="AA33" i="9"/>
  <c r="AA33" i="5"/>
  <c r="AA33" i="13"/>
  <c r="AA33" i="14"/>
  <c r="AA33" i="3"/>
  <c r="H20" i="8" l="1"/>
  <c r="Y20" i="8"/>
  <c r="W21" i="8" s="1"/>
  <c r="Z20" i="8"/>
  <c r="V21" i="7"/>
  <c r="AB20" i="7"/>
  <c r="U35" i="5"/>
  <c r="V20" i="5"/>
  <c r="AB20" i="11"/>
  <c r="V21" i="11"/>
  <c r="V21" i="3"/>
  <c r="AB20" i="3"/>
  <c r="AC20" i="3" s="1"/>
  <c r="V21" i="4"/>
  <c r="AB20" i="4"/>
  <c r="V21" i="14"/>
  <c r="AB20" i="14"/>
  <c r="AB20" i="9"/>
  <c r="V21" i="9"/>
  <c r="X21" i="8"/>
  <c r="AB20" i="12"/>
  <c r="AC20" i="12" s="1"/>
  <c r="V21" i="12"/>
  <c r="V23" i="8"/>
  <c r="AB22" i="8"/>
  <c r="AC22" i="8" s="1"/>
  <c r="Z23" i="13"/>
  <c r="X24" i="13" s="1"/>
  <c r="AC25" i="13"/>
  <c r="J24" i="13"/>
  <c r="H24" i="13"/>
  <c r="N24" i="13" s="1"/>
  <c r="J23" i="13"/>
  <c r="H23" i="13"/>
  <c r="Y24" i="13"/>
  <c r="W25" i="13" s="1"/>
  <c r="H25" i="13" s="1"/>
  <c r="V27" i="13"/>
  <c r="AB26" i="13"/>
  <c r="AC26" i="13" s="1"/>
  <c r="N23" i="13" l="1"/>
  <c r="N20" i="8"/>
  <c r="P20" i="8" s="1"/>
  <c r="W20" i="3"/>
  <c r="H20" i="3" s="1"/>
  <c r="W20" i="9"/>
  <c r="Y20" i="9" s="1"/>
  <c r="AC20" i="9"/>
  <c r="X20" i="9" s="1"/>
  <c r="W20" i="11"/>
  <c r="H20" i="11" s="1"/>
  <c r="AC20" i="11"/>
  <c r="X20" i="11" s="1"/>
  <c r="W20" i="14"/>
  <c r="Y20" i="14" s="1"/>
  <c r="AC20" i="14"/>
  <c r="X20" i="14" s="1"/>
  <c r="W20" i="4"/>
  <c r="Y20" i="4" s="1"/>
  <c r="AC20" i="4"/>
  <c r="W20" i="7"/>
  <c r="H20" i="7" s="1"/>
  <c r="AC20" i="7"/>
  <c r="X20" i="7" s="1"/>
  <c r="Z20" i="7" s="1"/>
  <c r="X20" i="4"/>
  <c r="J25" i="13"/>
  <c r="N25" i="13" s="1"/>
  <c r="X20" i="3"/>
  <c r="AB20" i="5"/>
  <c r="AC20" i="5" s="1"/>
  <c r="V21" i="5"/>
  <c r="AB21" i="7"/>
  <c r="V22" i="7"/>
  <c r="V22" i="12"/>
  <c r="AB21" i="12"/>
  <c r="AC21" i="12" s="1"/>
  <c r="J20" i="3"/>
  <c r="X20" i="12"/>
  <c r="W20" i="12"/>
  <c r="AB21" i="3"/>
  <c r="AC21" i="3" s="1"/>
  <c r="V22" i="3"/>
  <c r="J21" i="8"/>
  <c r="H21" i="8"/>
  <c r="N21" i="8" s="1"/>
  <c r="V22" i="14"/>
  <c r="AB21" i="14"/>
  <c r="V22" i="4"/>
  <c r="AB21" i="4"/>
  <c r="AC21" i="4" s="1"/>
  <c r="AB23" i="8"/>
  <c r="V24" i="8"/>
  <c r="Z21" i="8"/>
  <c r="X22" i="8" s="1"/>
  <c r="Y21" i="8"/>
  <c r="AB21" i="11"/>
  <c r="V22" i="11"/>
  <c r="AB21" i="9"/>
  <c r="V22" i="9"/>
  <c r="P24" i="13"/>
  <c r="Z24" i="13"/>
  <c r="X25" i="13" s="1"/>
  <c r="Y25" i="13"/>
  <c r="W26" i="13" s="1"/>
  <c r="J26" i="13" s="1"/>
  <c r="P23" i="13"/>
  <c r="V28" i="13"/>
  <c r="AB27" i="13"/>
  <c r="AC27" i="13" s="1"/>
  <c r="Y20" i="3" l="1"/>
  <c r="H20" i="4"/>
  <c r="N20" i="3"/>
  <c r="J20" i="4"/>
  <c r="Z20" i="4"/>
  <c r="J20" i="14"/>
  <c r="H20" i="14"/>
  <c r="J20" i="11"/>
  <c r="N20" i="11" s="1"/>
  <c r="Y20" i="11"/>
  <c r="W21" i="11" s="1"/>
  <c r="Y21" i="11" s="1"/>
  <c r="J20" i="9"/>
  <c r="J20" i="7"/>
  <c r="N20" i="7" s="1"/>
  <c r="H20" i="9"/>
  <c r="Y20" i="7"/>
  <c r="W21" i="7" s="1"/>
  <c r="W21" i="9"/>
  <c r="Y21" i="9" s="1"/>
  <c r="Z20" i="11"/>
  <c r="Z20" i="3"/>
  <c r="X21" i="3"/>
  <c r="X20" i="5"/>
  <c r="W20" i="5"/>
  <c r="AB21" i="5"/>
  <c r="AC21" i="5" s="1"/>
  <c r="V22" i="5"/>
  <c r="AC23" i="8"/>
  <c r="V23" i="7"/>
  <c r="AB22" i="7"/>
  <c r="AC22" i="7" s="1"/>
  <c r="AC21" i="7"/>
  <c r="X21" i="7" s="1"/>
  <c r="Z20" i="9"/>
  <c r="AB22" i="11"/>
  <c r="V23" i="11"/>
  <c r="P21" i="8"/>
  <c r="H26" i="13"/>
  <c r="N26" i="13" s="1"/>
  <c r="AC21" i="9"/>
  <c r="Z20" i="14"/>
  <c r="V25" i="8"/>
  <c r="AB24" i="8"/>
  <c r="AC21" i="11"/>
  <c r="X21" i="11" s="1"/>
  <c r="X21" i="4"/>
  <c r="W21" i="4"/>
  <c r="V23" i="9"/>
  <c r="AB22" i="9"/>
  <c r="AC22" i="9" s="1"/>
  <c r="W22" i="8"/>
  <c r="H20" i="12"/>
  <c r="Y20" i="12"/>
  <c r="W21" i="12" s="1"/>
  <c r="J20" i="12"/>
  <c r="V23" i="14"/>
  <c r="AB22" i="14"/>
  <c r="AC22" i="14" s="1"/>
  <c r="Z22" i="8"/>
  <c r="Z20" i="12"/>
  <c r="X21" i="12" s="1"/>
  <c r="AB22" i="12"/>
  <c r="V23" i="12"/>
  <c r="W21" i="3"/>
  <c r="V23" i="4"/>
  <c r="AB22" i="4"/>
  <c r="AC21" i="14"/>
  <c r="W21" i="14"/>
  <c r="V23" i="3"/>
  <c r="AB22" i="3"/>
  <c r="Y26" i="13"/>
  <c r="W27" i="13" s="1"/>
  <c r="H27" i="13" s="1"/>
  <c r="P25" i="13"/>
  <c r="Z25" i="13"/>
  <c r="X26" i="13" s="1"/>
  <c r="AB28" i="13"/>
  <c r="AC28" i="13" s="1"/>
  <c r="V29" i="13"/>
  <c r="N20" i="14" l="1"/>
  <c r="N20" i="12"/>
  <c r="P20" i="11"/>
  <c r="N20" i="4"/>
  <c r="P20" i="4" s="1"/>
  <c r="N20" i="9"/>
  <c r="P20" i="9" s="1"/>
  <c r="P20" i="14"/>
  <c r="P20" i="7"/>
  <c r="H21" i="9"/>
  <c r="J21" i="9"/>
  <c r="X21" i="14"/>
  <c r="Z21" i="14" s="1"/>
  <c r="X22" i="14" s="1"/>
  <c r="X21" i="9"/>
  <c r="Z21" i="9" s="1"/>
  <c r="X22" i="9" s="1"/>
  <c r="X23" i="8"/>
  <c r="Z21" i="3"/>
  <c r="AC22" i="4"/>
  <c r="Y21" i="7"/>
  <c r="J21" i="7"/>
  <c r="H21" i="7"/>
  <c r="AB22" i="5"/>
  <c r="AC22" i="5" s="1"/>
  <c r="V23" i="5"/>
  <c r="Z21" i="7"/>
  <c r="X22" i="7" s="1"/>
  <c r="Y20" i="5"/>
  <c r="J20" i="5"/>
  <c r="J14" i="10" s="1"/>
  <c r="H20" i="5"/>
  <c r="AB23" i="7"/>
  <c r="V24" i="7"/>
  <c r="Z20" i="5"/>
  <c r="X21" i="5" s="1"/>
  <c r="AB23" i="3"/>
  <c r="V24" i="3"/>
  <c r="H21" i="14"/>
  <c r="J21" i="14"/>
  <c r="V24" i="12"/>
  <c r="AB23" i="12"/>
  <c r="AB25" i="8"/>
  <c r="AC25" i="8" s="1"/>
  <c r="V26" i="8"/>
  <c r="H21" i="3"/>
  <c r="J21" i="3"/>
  <c r="AC22" i="12"/>
  <c r="AB23" i="14"/>
  <c r="V24" i="14"/>
  <c r="V24" i="9"/>
  <c r="AB23" i="9"/>
  <c r="AC23" i="9" s="1"/>
  <c r="P20" i="3"/>
  <c r="AC22" i="11"/>
  <c r="W22" i="11"/>
  <c r="Z21" i="12"/>
  <c r="J21" i="12"/>
  <c r="H21" i="12"/>
  <c r="Y21" i="14"/>
  <c r="W22" i="14" s="1"/>
  <c r="W22" i="9"/>
  <c r="J22" i="8"/>
  <c r="H22" i="8"/>
  <c r="Y21" i="12"/>
  <c r="W22" i="12" s="1"/>
  <c r="Y21" i="4"/>
  <c r="H21" i="4"/>
  <c r="J21" i="4"/>
  <c r="Z21" i="11"/>
  <c r="AC24" i="8"/>
  <c r="J27" i="13"/>
  <c r="N27" i="13" s="1"/>
  <c r="V24" i="4"/>
  <c r="AB23" i="4"/>
  <c r="P20" i="12"/>
  <c r="Z21" i="4"/>
  <c r="J21" i="11"/>
  <c r="H21" i="11"/>
  <c r="N21" i="11" s="1"/>
  <c r="AC22" i="3"/>
  <c r="Y21" i="3"/>
  <c r="W22" i="3" s="1"/>
  <c r="Y22" i="8"/>
  <c r="AB23" i="11"/>
  <c r="AC23" i="11" s="1"/>
  <c r="V24" i="11"/>
  <c r="Y27" i="13"/>
  <c r="W28" i="13" s="1"/>
  <c r="P26" i="13"/>
  <c r="Z26" i="13"/>
  <c r="X27" i="13" s="1"/>
  <c r="AB29" i="13"/>
  <c r="AC29" i="13" s="1"/>
  <c r="V30" i="13"/>
  <c r="N22" i="8" l="1"/>
  <c r="N21" i="9"/>
  <c r="N21" i="4"/>
  <c r="N21" i="12"/>
  <c r="P21" i="12" s="1"/>
  <c r="N21" i="14"/>
  <c r="P21" i="14" s="1"/>
  <c r="N20" i="5"/>
  <c r="P20" i="5" s="1"/>
  <c r="P14" i="10" s="1"/>
  <c r="N21" i="7"/>
  <c r="P21" i="7" s="1"/>
  <c r="N21" i="3"/>
  <c r="X22" i="11"/>
  <c r="Z22" i="11" s="1"/>
  <c r="X23" i="11" s="1"/>
  <c r="P21" i="9"/>
  <c r="X22" i="12"/>
  <c r="Z22" i="12" s="1"/>
  <c r="Z22" i="14"/>
  <c r="Z22" i="7"/>
  <c r="X22" i="4"/>
  <c r="X22" i="3"/>
  <c r="Z22" i="3" s="1"/>
  <c r="Z23" i="8"/>
  <c r="X24" i="8" s="1"/>
  <c r="AC23" i="7"/>
  <c r="P22" i="8"/>
  <c r="AB23" i="5"/>
  <c r="AC23" i="5" s="1"/>
  <c r="V24" i="5"/>
  <c r="V25" i="7"/>
  <c r="AB24" i="7"/>
  <c r="AC24" i="7" s="1"/>
  <c r="Z21" i="5"/>
  <c r="X22" i="5" s="1"/>
  <c r="W21" i="5"/>
  <c r="W22" i="7"/>
  <c r="Y22" i="7" s="1"/>
  <c r="H14" i="10"/>
  <c r="H22" i="3"/>
  <c r="J22" i="3"/>
  <c r="Y22" i="14"/>
  <c r="W23" i="14" s="1"/>
  <c r="J22" i="14"/>
  <c r="H22" i="14"/>
  <c r="AC23" i="14"/>
  <c r="X23" i="14" s="1"/>
  <c r="H22" i="12"/>
  <c r="J22" i="12"/>
  <c r="AC23" i="12"/>
  <c r="Z22" i="9"/>
  <c r="X23" i="9" s="1"/>
  <c r="AB24" i="12"/>
  <c r="AC24" i="12" s="1"/>
  <c r="V25" i="12"/>
  <c r="Y22" i="3"/>
  <c r="W23" i="3" s="1"/>
  <c r="V25" i="14"/>
  <c r="AB24" i="14"/>
  <c r="AC24" i="14" s="1"/>
  <c r="J22" i="11"/>
  <c r="H22" i="11"/>
  <c r="AC23" i="4"/>
  <c r="P21" i="4"/>
  <c r="W23" i="8"/>
  <c r="Y23" i="8" s="1"/>
  <c r="P21" i="11"/>
  <c r="W22" i="4"/>
  <c r="Y22" i="4" s="1"/>
  <c r="V25" i="3"/>
  <c r="AB24" i="3"/>
  <c r="H22" i="9"/>
  <c r="J22" i="9"/>
  <c r="AB24" i="11"/>
  <c r="AC24" i="11" s="1"/>
  <c r="V25" i="11"/>
  <c r="AB24" i="4"/>
  <c r="V25" i="4"/>
  <c r="Y22" i="11"/>
  <c r="W23" i="11" s="1"/>
  <c r="Y22" i="12"/>
  <c r="Y22" i="9"/>
  <c r="V25" i="9"/>
  <c r="AB24" i="9"/>
  <c r="AC24" i="9" s="1"/>
  <c r="AB26" i="8"/>
  <c r="V27" i="8"/>
  <c r="AC23" i="3"/>
  <c r="Z27" i="13"/>
  <c r="P27" i="13"/>
  <c r="AB30" i="13"/>
  <c r="AC30" i="13" s="1"/>
  <c r="V31" i="13"/>
  <c r="J28" i="13"/>
  <c r="H28" i="13"/>
  <c r="Y28" i="13"/>
  <c r="W29" i="13" s="1"/>
  <c r="N22" i="9" l="1"/>
  <c r="N22" i="11"/>
  <c r="N22" i="14"/>
  <c r="N22" i="12"/>
  <c r="P22" i="12" s="1"/>
  <c r="N28" i="13"/>
  <c r="N22" i="3"/>
  <c r="X23" i="12"/>
  <c r="Z23" i="14"/>
  <c r="X23" i="7"/>
  <c r="Z23" i="7" s="1"/>
  <c r="X24" i="7" s="1"/>
  <c r="Z24" i="8"/>
  <c r="X25" i="8" s="1"/>
  <c r="Z25" i="8" s="1"/>
  <c r="N14" i="10"/>
  <c r="Z22" i="4"/>
  <c r="X23" i="4" s="1"/>
  <c r="Z23" i="4" s="1"/>
  <c r="X24" i="14"/>
  <c r="Z23" i="9"/>
  <c r="X28" i="13"/>
  <c r="P22" i="14"/>
  <c r="P22" i="11"/>
  <c r="X23" i="3"/>
  <c r="Z23" i="3" s="1"/>
  <c r="W23" i="7"/>
  <c r="Y23" i="7" s="1"/>
  <c r="J22" i="7"/>
  <c r="H22" i="7"/>
  <c r="AB25" i="7"/>
  <c r="V26" i="7"/>
  <c r="H21" i="5"/>
  <c r="J21" i="5"/>
  <c r="J15" i="10" s="1"/>
  <c r="Z22" i="5"/>
  <c r="X23" i="5" s="1"/>
  <c r="AB24" i="5"/>
  <c r="AC24" i="5" s="1"/>
  <c r="V25" i="5"/>
  <c r="X24" i="9"/>
  <c r="Y21" i="5"/>
  <c r="Y23" i="11"/>
  <c r="W24" i="11" s="1"/>
  <c r="H23" i="11"/>
  <c r="J23" i="11"/>
  <c r="AB25" i="3"/>
  <c r="V26" i="3"/>
  <c r="W24" i="8"/>
  <c r="J23" i="8"/>
  <c r="H23" i="8"/>
  <c r="V26" i="9"/>
  <c r="AB25" i="9"/>
  <c r="AC25" i="9" s="1"/>
  <c r="W23" i="9"/>
  <c r="Y23" i="9" s="1"/>
  <c r="V26" i="4"/>
  <c r="AB25" i="4"/>
  <c r="AC25" i="4" s="1"/>
  <c r="W23" i="12"/>
  <c r="Y23" i="12" s="1"/>
  <c r="W23" i="4"/>
  <c r="Y23" i="4" s="1"/>
  <c r="W24" i="4" s="1"/>
  <c r="AC24" i="4"/>
  <c r="V26" i="12"/>
  <c r="AB25" i="12"/>
  <c r="H23" i="3"/>
  <c r="J23" i="3"/>
  <c r="V26" i="11"/>
  <c r="AB25" i="11"/>
  <c r="AC25" i="11" s="1"/>
  <c r="P21" i="3"/>
  <c r="V28" i="8"/>
  <c r="AB27" i="8"/>
  <c r="AC27" i="8" s="1"/>
  <c r="Z23" i="11"/>
  <c r="X24" i="11" s="1"/>
  <c r="AC26" i="8"/>
  <c r="P22" i="9"/>
  <c r="H22" i="4"/>
  <c r="J22" i="4"/>
  <c r="V26" i="14"/>
  <c r="AB25" i="14"/>
  <c r="AC25" i="14" s="1"/>
  <c r="Z23" i="12"/>
  <c r="AC24" i="3"/>
  <c r="Y23" i="3"/>
  <c r="W24" i="3" s="1"/>
  <c r="Y23" i="14"/>
  <c r="H23" i="14"/>
  <c r="J23" i="14"/>
  <c r="AB31" i="13"/>
  <c r="V32" i="13"/>
  <c r="Y29" i="13"/>
  <c r="J29" i="13"/>
  <c r="H29" i="13"/>
  <c r="N21" i="5" l="1"/>
  <c r="P28" i="13"/>
  <c r="N29" i="13"/>
  <c r="N23" i="14"/>
  <c r="N23" i="8"/>
  <c r="N22" i="7"/>
  <c r="P22" i="7" s="1"/>
  <c r="N23" i="11"/>
  <c r="P23" i="11" s="1"/>
  <c r="N22" i="4"/>
  <c r="P22" i="4" s="1"/>
  <c r="N23" i="3"/>
  <c r="Z24" i="14"/>
  <c r="X25" i="14"/>
  <c r="X24" i="4"/>
  <c r="X26" i="8"/>
  <c r="Z24" i="9"/>
  <c r="Z28" i="13"/>
  <c r="X29" i="13" s="1"/>
  <c r="X24" i="12"/>
  <c r="P23" i="8"/>
  <c r="AC25" i="7"/>
  <c r="X24" i="3"/>
  <c r="Z24" i="3" s="1"/>
  <c r="V26" i="5"/>
  <c r="AB25" i="5"/>
  <c r="H15" i="10"/>
  <c r="AB26" i="7"/>
  <c r="V27" i="7"/>
  <c r="Z24" i="7"/>
  <c r="Z23" i="5"/>
  <c r="X24" i="5" s="1"/>
  <c r="W22" i="5"/>
  <c r="W24" i="7"/>
  <c r="Y24" i="7" s="1"/>
  <c r="H23" i="7"/>
  <c r="J23" i="7"/>
  <c r="W24" i="9"/>
  <c r="Y24" i="9" s="1"/>
  <c r="W25" i="9" s="1"/>
  <c r="J24" i="3"/>
  <c r="H24" i="3"/>
  <c r="H24" i="4"/>
  <c r="J24" i="4"/>
  <c r="X25" i="9"/>
  <c r="Y24" i="11"/>
  <c r="W25" i="11" s="1"/>
  <c r="H24" i="11"/>
  <c r="J24" i="11"/>
  <c r="V27" i="9"/>
  <c r="AB26" i="9"/>
  <c r="AC26" i="9" s="1"/>
  <c r="AB26" i="14"/>
  <c r="V27" i="14"/>
  <c r="AB26" i="4"/>
  <c r="V27" i="4"/>
  <c r="Y24" i="4"/>
  <c r="W25" i="4" s="1"/>
  <c r="AB26" i="3"/>
  <c r="AC26" i="3" s="1"/>
  <c r="V27" i="3"/>
  <c r="P22" i="3"/>
  <c r="Z24" i="11"/>
  <c r="X25" i="11" s="1"/>
  <c r="V27" i="11"/>
  <c r="AB26" i="11"/>
  <c r="J23" i="12"/>
  <c r="H23" i="12"/>
  <c r="J24" i="8"/>
  <c r="H24" i="8"/>
  <c r="AC25" i="12"/>
  <c r="AB26" i="12"/>
  <c r="V27" i="12"/>
  <c r="J23" i="9"/>
  <c r="H23" i="9"/>
  <c r="Y24" i="8"/>
  <c r="Y24" i="3"/>
  <c r="W25" i="3" s="1"/>
  <c r="J23" i="4"/>
  <c r="H23" i="4"/>
  <c r="P23" i="14"/>
  <c r="V29" i="8"/>
  <c r="AB28" i="8"/>
  <c r="AC28" i="8" s="1"/>
  <c r="W24" i="14"/>
  <c r="W24" i="12"/>
  <c r="Y24" i="12" s="1"/>
  <c r="AC25" i="3"/>
  <c r="AB32" i="13"/>
  <c r="V33" i="13"/>
  <c r="AB33" i="13" s="1"/>
  <c r="AC31" i="13"/>
  <c r="W30" i="13"/>
  <c r="Y30" i="13" s="1"/>
  <c r="W31" i="13" s="1"/>
  <c r="N23" i="7" l="1"/>
  <c r="N24" i="8"/>
  <c r="N23" i="4"/>
  <c r="P23" i="4" s="1"/>
  <c r="N23" i="12"/>
  <c r="N23" i="9"/>
  <c r="N24" i="11"/>
  <c r="P24" i="11" s="1"/>
  <c r="N24" i="4"/>
  <c r="P24" i="4" s="1"/>
  <c r="N24" i="3"/>
  <c r="Z24" i="4"/>
  <c r="X25" i="4" s="1"/>
  <c r="Z25" i="14"/>
  <c r="X25" i="7"/>
  <c r="Z25" i="7" s="1"/>
  <c r="Z26" i="8"/>
  <c r="X27" i="8" s="1"/>
  <c r="Z27" i="8" s="1"/>
  <c r="X28" i="8" s="1"/>
  <c r="P29" i="13"/>
  <c r="Z29" i="13"/>
  <c r="Z24" i="12"/>
  <c r="X25" i="12" s="1"/>
  <c r="P24" i="8"/>
  <c r="P23" i="9"/>
  <c r="AC25" i="5"/>
  <c r="X25" i="3"/>
  <c r="H22" i="5"/>
  <c r="J22" i="5"/>
  <c r="J16" i="10" s="1"/>
  <c r="V28" i="7"/>
  <c r="AB27" i="7"/>
  <c r="AC27" i="7" s="1"/>
  <c r="Y22" i="5"/>
  <c r="AC26" i="7"/>
  <c r="Z24" i="5"/>
  <c r="X25" i="5" s="1"/>
  <c r="P21" i="5"/>
  <c r="P15" i="10" s="1"/>
  <c r="N15" i="10"/>
  <c r="W25" i="7"/>
  <c r="Y25" i="7" s="1"/>
  <c r="P23" i="7"/>
  <c r="J24" i="7"/>
  <c r="H24" i="7"/>
  <c r="V27" i="5"/>
  <c r="AB26" i="5"/>
  <c r="AC26" i="5" s="1"/>
  <c r="W25" i="12"/>
  <c r="Y25" i="3"/>
  <c r="W26" i="3" s="1"/>
  <c r="H25" i="3"/>
  <c r="J25" i="3"/>
  <c r="Y25" i="9"/>
  <c r="W26" i="9" s="1"/>
  <c r="J25" i="9"/>
  <c r="H25" i="9"/>
  <c r="N25" i="9" s="1"/>
  <c r="H24" i="14"/>
  <c r="J24" i="14"/>
  <c r="AB27" i="11"/>
  <c r="V28" i="11"/>
  <c r="J25" i="11"/>
  <c r="H25" i="11"/>
  <c r="N25" i="11" s="1"/>
  <c r="AB27" i="3"/>
  <c r="V28" i="3"/>
  <c r="Z25" i="11"/>
  <c r="Z25" i="9"/>
  <c r="X26" i="9" s="1"/>
  <c r="H24" i="12"/>
  <c r="J24" i="12"/>
  <c r="AC26" i="4"/>
  <c r="AB27" i="9"/>
  <c r="AC27" i="9" s="1"/>
  <c r="V28" i="9"/>
  <c r="P23" i="3"/>
  <c r="AC33" i="13"/>
  <c r="P23" i="12"/>
  <c r="V28" i="14"/>
  <c r="AB27" i="14"/>
  <c r="AC27" i="14" s="1"/>
  <c r="AC26" i="14"/>
  <c r="X26" i="14" s="1"/>
  <c r="AC26" i="12"/>
  <c r="Y24" i="14"/>
  <c r="Y25" i="4"/>
  <c r="W26" i="4" s="1"/>
  <c r="J25" i="4"/>
  <c r="H25" i="4"/>
  <c r="H24" i="9"/>
  <c r="J24" i="9"/>
  <c r="W25" i="8"/>
  <c r="Y25" i="8" s="1"/>
  <c r="V30" i="8"/>
  <c r="AB29" i="8"/>
  <c r="AC29" i="8" s="1"/>
  <c r="V28" i="12"/>
  <c r="AB27" i="12"/>
  <c r="AC27" i="12" s="1"/>
  <c r="AC26" i="11"/>
  <c r="V28" i="4"/>
  <c r="AB27" i="4"/>
  <c r="Y25" i="11"/>
  <c r="W26" i="11" s="1"/>
  <c r="AC32" i="13"/>
  <c r="Y31" i="13"/>
  <c r="W32" i="13" s="1"/>
  <c r="J31" i="13"/>
  <c r="H31" i="13"/>
  <c r="N31" i="13" s="1"/>
  <c r="H30" i="13"/>
  <c r="J30" i="13"/>
  <c r="W35" i="13"/>
  <c r="N24" i="9" l="1"/>
  <c r="N25" i="4"/>
  <c r="N24" i="7"/>
  <c r="N30" i="13"/>
  <c r="N22" i="5"/>
  <c r="N24" i="14"/>
  <c r="N24" i="12"/>
  <c r="N25" i="3"/>
  <c r="Z25" i="4"/>
  <c r="P24" i="7"/>
  <c r="X26" i="11"/>
  <c r="Z26" i="11" s="1"/>
  <c r="X26" i="7"/>
  <c r="Z26" i="7" s="1"/>
  <c r="X27" i="7" s="1"/>
  <c r="X30" i="13"/>
  <c r="Z30" i="13" s="1"/>
  <c r="X31" i="13" s="1"/>
  <c r="X26" i="4"/>
  <c r="Z25" i="12"/>
  <c r="X26" i="12" s="1"/>
  <c r="Z25" i="5"/>
  <c r="X26" i="5" s="1"/>
  <c r="Z28" i="8"/>
  <c r="X29" i="8" s="1"/>
  <c r="Z26" i="9"/>
  <c r="X27" i="9" s="1"/>
  <c r="Z25" i="3"/>
  <c r="X26" i="3" s="1"/>
  <c r="P25" i="11"/>
  <c r="W26" i="7"/>
  <c r="J25" i="7"/>
  <c r="H25" i="7"/>
  <c r="N25" i="7" s="1"/>
  <c r="W23" i="5"/>
  <c r="Y23" i="5" s="1"/>
  <c r="AB28" i="7"/>
  <c r="V29" i="7"/>
  <c r="V28" i="5"/>
  <c r="AB27" i="5"/>
  <c r="AC27" i="5" s="1"/>
  <c r="H16" i="10"/>
  <c r="Y26" i="4"/>
  <c r="W27" i="4" s="1"/>
  <c r="J26" i="4"/>
  <c r="H26" i="4"/>
  <c r="W26" i="8"/>
  <c r="Y26" i="8" s="1"/>
  <c r="W27" i="8" s="1"/>
  <c r="Y27" i="8" s="1"/>
  <c r="W28" i="8" s="1"/>
  <c r="H26" i="9"/>
  <c r="J26" i="9"/>
  <c r="AB28" i="12"/>
  <c r="V29" i="12"/>
  <c r="P25" i="4"/>
  <c r="P24" i="9"/>
  <c r="Y26" i="11"/>
  <c r="W27" i="11" s="1"/>
  <c r="H26" i="11"/>
  <c r="J26" i="11"/>
  <c r="AB28" i="3"/>
  <c r="V29" i="3"/>
  <c r="P24" i="3"/>
  <c r="AB30" i="8"/>
  <c r="AC30" i="8" s="1"/>
  <c r="V31" i="8"/>
  <c r="V29" i="14"/>
  <c r="AB28" i="14"/>
  <c r="AC28" i="14" s="1"/>
  <c r="V29" i="9"/>
  <c r="AB28" i="9"/>
  <c r="AC27" i="3"/>
  <c r="P25" i="9"/>
  <c r="P24" i="14"/>
  <c r="AC27" i="4"/>
  <c r="W25" i="14"/>
  <c r="Y25" i="14" s="1"/>
  <c r="P24" i="12"/>
  <c r="AC27" i="11"/>
  <c r="H25" i="12"/>
  <c r="J25" i="12"/>
  <c r="Z26" i="14"/>
  <c r="X27" i="14" s="1"/>
  <c r="V29" i="4"/>
  <c r="AB28" i="4"/>
  <c r="AC28" i="4" s="1"/>
  <c r="J25" i="8"/>
  <c r="H25" i="8"/>
  <c r="N25" i="8" s="1"/>
  <c r="Y26" i="3"/>
  <c r="W27" i="3" s="1"/>
  <c r="H26" i="3"/>
  <c r="J26" i="3"/>
  <c r="V29" i="11"/>
  <c r="AB28" i="11"/>
  <c r="AC28" i="11" s="1"/>
  <c r="Y26" i="9"/>
  <c r="Y25" i="12"/>
  <c r="Y32" i="13"/>
  <c r="W33" i="13" s="1"/>
  <c r="J32" i="13"/>
  <c r="H32" i="13"/>
  <c r="N32" i="13" s="1"/>
  <c r="N26" i="4" l="1"/>
  <c r="N26" i="11"/>
  <c r="N25" i="12"/>
  <c r="N26" i="9"/>
  <c r="P26" i="9" s="1"/>
  <c r="N26" i="3"/>
  <c r="Z26" i="4"/>
  <c r="Z26" i="3"/>
  <c r="X27" i="3" s="1"/>
  <c r="X27" i="4"/>
  <c r="P26" i="4"/>
  <c r="P31" i="13"/>
  <c r="Z31" i="13"/>
  <c r="X32" i="13" s="1"/>
  <c r="X27" i="11"/>
  <c r="Z26" i="12"/>
  <c r="X27" i="12" s="1"/>
  <c r="P30" i="13"/>
  <c r="X35" i="13"/>
  <c r="Z27" i="9"/>
  <c r="Z29" i="8"/>
  <c r="X30" i="8" s="1"/>
  <c r="Z26" i="5"/>
  <c r="X27" i="5" s="1"/>
  <c r="P25" i="7"/>
  <c r="W24" i="5"/>
  <c r="Y24" i="5" s="1"/>
  <c r="AB29" i="7"/>
  <c r="V30" i="7"/>
  <c r="AC28" i="7"/>
  <c r="J27" i="8"/>
  <c r="P26" i="11"/>
  <c r="V29" i="5"/>
  <c r="AB28" i="5"/>
  <c r="AC28" i="5" s="1"/>
  <c r="J26" i="7"/>
  <c r="H26" i="7"/>
  <c r="N26" i="7" s="1"/>
  <c r="H27" i="8"/>
  <c r="N27" i="8" s="1"/>
  <c r="Z27" i="7"/>
  <c r="Y26" i="7"/>
  <c r="W27" i="7" s="1"/>
  <c r="P22" i="5"/>
  <c r="P16" i="10" s="1"/>
  <c r="N16" i="10"/>
  <c r="H23" i="5"/>
  <c r="J23" i="5"/>
  <c r="J17" i="10" s="1"/>
  <c r="Y27" i="11"/>
  <c r="W28" i="11" s="1"/>
  <c r="J27" i="11"/>
  <c r="H27" i="11"/>
  <c r="N27" i="11" s="1"/>
  <c r="Y27" i="3"/>
  <c r="W28" i="3" s="1"/>
  <c r="J27" i="3"/>
  <c r="H27" i="3"/>
  <c r="V30" i="9"/>
  <c r="AB29" i="9"/>
  <c r="AB29" i="3"/>
  <c r="V30" i="3"/>
  <c r="AC28" i="3"/>
  <c r="P25" i="3"/>
  <c r="W26" i="12"/>
  <c r="Y26" i="12" s="1"/>
  <c r="W27" i="12" s="1"/>
  <c r="P25" i="8"/>
  <c r="Z27" i="14"/>
  <c r="J26" i="8"/>
  <c r="H26" i="8"/>
  <c r="N26" i="8" s="1"/>
  <c r="AB29" i="14"/>
  <c r="V30" i="14"/>
  <c r="W27" i="9"/>
  <c r="H25" i="14"/>
  <c r="J25" i="14"/>
  <c r="V32" i="8"/>
  <c r="AB31" i="8"/>
  <c r="W26" i="14"/>
  <c r="Y26" i="14" s="1"/>
  <c r="P25" i="12"/>
  <c r="Y27" i="4"/>
  <c r="W28" i="4" s="1"/>
  <c r="J27" i="4"/>
  <c r="H27" i="4"/>
  <c r="AC28" i="12"/>
  <c r="V30" i="11"/>
  <c r="AB29" i="11"/>
  <c r="AB29" i="4"/>
  <c r="AC29" i="4" s="1"/>
  <c r="V30" i="4"/>
  <c r="AC28" i="9"/>
  <c r="AB29" i="12"/>
  <c r="V30" i="12"/>
  <c r="H28" i="8"/>
  <c r="J28" i="8"/>
  <c r="Y28" i="8"/>
  <c r="W29" i="8" s="1"/>
  <c r="Y33" i="13"/>
  <c r="H33" i="13"/>
  <c r="J33" i="13"/>
  <c r="J35" i="13" s="1"/>
  <c r="K32" i="2" s="1"/>
  <c r="N23" i="5" l="1"/>
  <c r="N28" i="8"/>
  <c r="N25" i="14"/>
  <c r="N33" i="13"/>
  <c r="N27" i="4"/>
  <c r="P27" i="4" s="1"/>
  <c r="N27" i="3"/>
  <c r="P27" i="3" s="1"/>
  <c r="Z27" i="4"/>
  <c r="X28" i="4" s="1"/>
  <c r="X28" i="7"/>
  <c r="Z28" i="7" s="1"/>
  <c r="Z27" i="11"/>
  <c r="X28" i="11" s="1"/>
  <c r="Z27" i="3"/>
  <c r="X28" i="3" s="1"/>
  <c r="Z27" i="12"/>
  <c r="X28" i="12" s="1"/>
  <c r="Z32" i="13"/>
  <c r="X33" i="13" s="1"/>
  <c r="X28" i="9"/>
  <c r="Z30" i="8"/>
  <c r="X28" i="14"/>
  <c r="P27" i="8"/>
  <c r="AC29" i="12"/>
  <c r="AC29" i="11"/>
  <c r="H17" i="10"/>
  <c r="P26" i="7"/>
  <c r="Z27" i="5"/>
  <c r="X28" i="5" s="1"/>
  <c r="Y27" i="7"/>
  <c r="W28" i="7" s="1"/>
  <c r="H27" i="7"/>
  <c r="J27" i="7"/>
  <c r="P27" i="11"/>
  <c r="V30" i="5"/>
  <c r="AB29" i="5"/>
  <c r="AB30" i="7"/>
  <c r="AC30" i="7" s="1"/>
  <c r="V31" i="7"/>
  <c r="AC29" i="7"/>
  <c r="W25" i="5"/>
  <c r="AC31" i="8"/>
  <c r="J24" i="5"/>
  <c r="J18" i="10" s="1"/>
  <c r="H24" i="5"/>
  <c r="W27" i="14"/>
  <c r="Y27" i="14" s="1"/>
  <c r="W28" i="14" s="1"/>
  <c r="Y28" i="4"/>
  <c r="H28" i="4"/>
  <c r="J28" i="4"/>
  <c r="H28" i="11"/>
  <c r="J28" i="11"/>
  <c r="Y28" i="3"/>
  <c r="W29" i="3" s="1"/>
  <c r="J28" i="3"/>
  <c r="H28" i="3"/>
  <c r="V31" i="9"/>
  <c r="AB30" i="9"/>
  <c r="AC30" i="9" s="1"/>
  <c r="AB30" i="11"/>
  <c r="V31" i="11"/>
  <c r="P26" i="3"/>
  <c r="V31" i="12"/>
  <c r="AB30" i="12"/>
  <c r="AC30" i="12" s="1"/>
  <c r="P25" i="14"/>
  <c r="Y28" i="11"/>
  <c r="J27" i="9"/>
  <c r="H27" i="9"/>
  <c r="AB30" i="14"/>
  <c r="AC30" i="14" s="1"/>
  <c r="V31" i="14"/>
  <c r="V31" i="3"/>
  <c r="AB30" i="3"/>
  <c r="AC30" i="3" s="1"/>
  <c r="H26" i="14"/>
  <c r="J26" i="14"/>
  <c r="V33" i="8"/>
  <c r="AB32" i="8"/>
  <c r="AC32" i="8" s="1"/>
  <c r="AC29" i="14"/>
  <c r="H26" i="12"/>
  <c r="J26" i="12"/>
  <c r="AC29" i="3"/>
  <c r="Y27" i="12"/>
  <c r="J27" i="12"/>
  <c r="H27" i="12"/>
  <c r="V31" i="4"/>
  <c r="AB30" i="4"/>
  <c r="Z28" i="4"/>
  <c r="X29" i="4" s="1"/>
  <c r="Y27" i="9"/>
  <c r="W28" i="9" s="1"/>
  <c r="P26" i="8"/>
  <c r="AC29" i="9"/>
  <c r="Y29" i="8"/>
  <c r="J29" i="8"/>
  <c r="H29" i="8"/>
  <c r="H35" i="13"/>
  <c r="H36" i="13" s="1"/>
  <c r="F36" i="13" s="1"/>
  <c r="N29" i="8" l="1"/>
  <c r="N27" i="7"/>
  <c r="N28" i="11"/>
  <c r="N28" i="3"/>
  <c r="N27" i="9"/>
  <c r="P27" i="9" s="1"/>
  <c r="N28" i="4"/>
  <c r="N26" i="14"/>
  <c r="N27" i="12"/>
  <c r="P27" i="12" s="1"/>
  <c r="N26" i="12"/>
  <c r="N24" i="5"/>
  <c r="Z28" i="3"/>
  <c r="Z28" i="9"/>
  <c r="X29" i="7"/>
  <c r="Z29" i="7" s="1"/>
  <c r="X30" i="7" s="1"/>
  <c r="X31" i="8"/>
  <c r="Z28" i="12"/>
  <c r="X29" i="12" s="1"/>
  <c r="X29" i="9"/>
  <c r="P33" i="13"/>
  <c r="Z33" i="13"/>
  <c r="P32" i="13"/>
  <c r="Z28" i="11"/>
  <c r="Z28" i="14"/>
  <c r="X29" i="14" s="1"/>
  <c r="Z29" i="14" s="1"/>
  <c r="X30" i="14" s="1"/>
  <c r="P28" i="3"/>
  <c r="X29" i="3"/>
  <c r="H25" i="5"/>
  <c r="J25" i="5"/>
  <c r="J19" i="10" s="1"/>
  <c r="V31" i="5"/>
  <c r="AB30" i="5"/>
  <c r="AC30" i="5" s="1"/>
  <c r="Z28" i="5"/>
  <c r="H18" i="10"/>
  <c r="AB31" i="7"/>
  <c r="AC31" i="7" s="1"/>
  <c r="V32" i="7"/>
  <c r="P27" i="7"/>
  <c r="Y25" i="5"/>
  <c r="AC29" i="5"/>
  <c r="Y28" i="7"/>
  <c r="J28" i="7"/>
  <c r="H28" i="7"/>
  <c r="P23" i="5"/>
  <c r="P17" i="10" s="1"/>
  <c r="N17" i="10"/>
  <c r="V32" i="11"/>
  <c r="AB31" i="11"/>
  <c r="AC31" i="11" s="1"/>
  <c r="V32" i="9"/>
  <c r="AB31" i="9"/>
  <c r="AC31" i="9" s="1"/>
  <c r="AB31" i="14"/>
  <c r="V32" i="14"/>
  <c r="P28" i="11"/>
  <c r="P26" i="12"/>
  <c r="P26" i="14"/>
  <c r="AB31" i="12"/>
  <c r="V32" i="12"/>
  <c r="P28" i="4"/>
  <c r="V32" i="3"/>
  <c r="AB31" i="3"/>
  <c r="W29" i="4"/>
  <c r="Y29" i="4" s="1"/>
  <c r="W30" i="4" s="1"/>
  <c r="AB33" i="8"/>
  <c r="W29" i="11"/>
  <c r="Y29" i="11" s="1"/>
  <c r="W30" i="11" s="1"/>
  <c r="Y28" i="14"/>
  <c r="H28" i="14"/>
  <c r="J28" i="14"/>
  <c r="AB31" i="4"/>
  <c r="V32" i="4"/>
  <c r="Y28" i="9"/>
  <c r="H28" i="9"/>
  <c r="J28" i="9"/>
  <c r="Z29" i="4"/>
  <c r="W28" i="12"/>
  <c r="Y28" i="12" s="1"/>
  <c r="AC30" i="4"/>
  <c r="Y29" i="3"/>
  <c r="W30" i="3" s="1"/>
  <c r="H29" i="3"/>
  <c r="J29" i="3"/>
  <c r="AC30" i="11"/>
  <c r="H27" i="14"/>
  <c r="J27" i="14"/>
  <c r="I32" i="2"/>
  <c r="P28" i="8"/>
  <c r="W30" i="8"/>
  <c r="Y30" i="8" s="1"/>
  <c r="Z29" i="3" l="1"/>
  <c r="X30" i="3" s="1"/>
  <c r="N28" i="7"/>
  <c r="N28" i="9"/>
  <c r="N27" i="14"/>
  <c r="N25" i="5"/>
  <c r="N28" i="14"/>
  <c r="N29" i="3"/>
  <c r="X35" i="8"/>
  <c r="Z31" i="8"/>
  <c r="X32" i="8" s="1"/>
  <c r="X29" i="5"/>
  <c r="Z29" i="5" s="1"/>
  <c r="P35" i="13"/>
  <c r="Q32" i="2" s="1"/>
  <c r="X30" i="4"/>
  <c r="L36" i="13"/>
  <c r="Z29" i="9"/>
  <c r="X30" i="9" s="1"/>
  <c r="N35" i="13"/>
  <c r="O32" i="2" s="1"/>
  <c r="X29" i="11"/>
  <c r="Z29" i="12"/>
  <c r="X30" i="12" s="1"/>
  <c r="Z30" i="7"/>
  <c r="X31" i="7" s="1"/>
  <c r="X35" i="7" s="1"/>
  <c r="W29" i="7"/>
  <c r="V33" i="7"/>
  <c r="AB33" i="7" s="1"/>
  <c r="AB32" i="7"/>
  <c r="W26" i="5"/>
  <c r="AB31" i="5"/>
  <c r="AC31" i="5" s="1"/>
  <c r="V32" i="5"/>
  <c r="P24" i="5"/>
  <c r="P18" i="10" s="1"/>
  <c r="N18" i="10"/>
  <c r="H19" i="10"/>
  <c r="P28" i="7"/>
  <c r="Y30" i="4"/>
  <c r="W31" i="4" s="1"/>
  <c r="J30" i="4"/>
  <c r="H30" i="4"/>
  <c r="Y30" i="3"/>
  <c r="W31" i="3" s="1"/>
  <c r="W35" i="3" s="1"/>
  <c r="J30" i="3"/>
  <c r="H30" i="3"/>
  <c r="Y30" i="11"/>
  <c r="W31" i="11" s="1"/>
  <c r="J30" i="11"/>
  <c r="H30" i="11"/>
  <c r="Z30" i="3"/>
  <c r="AC31" i="4"/>
  <c r="AC33" i="8"/>
  <c r="AB32" i="12"/>
  <c r="AC32" i="12" s="1"/>
  <c r="V33" i="12"/>
  <c r="V33" i="9"/>
  <c r="AB32" i="9"/>
  <c r="AC32" i="9" s="1"/>
  <c r="J29" i="11"/>
  <c r="H29" i="11"/>
  <c r="Z30" i="14"/>
  <c r="AC31" i="12"/>
  <c r="P28" i="14"/>
  <c r="AB32" i="11"/>
  <c r="V33" i="11"/>
  <c r="AB33" i="11" s="1"/>
  <c r="W29" i="14"/>
  <c r="H28" i="12"/>
  <c r="J28" i="12"/>
  <c r="P28" i="9"/>
  <c r="AC31" i="3"/>
  <c r="AB32" i="14"/>
  <c r="AC32" i="14" s="1"/>
  <c r="V33" i="14"/>
  <c r="V33" i="4"/>
  <c r="AB33" i="4" s="1"/>
  <c r="AB32" i="4"/>
  <c r="W29" i="12"/>
  <c r="Y29" i="12" s="1"/>
  <c r="W30" i="12" s="1"/>
  <c r="W29" i="9"/>
  <c r="Y29" i="9" s="1"/>
  <c r="J29" i="4"/>
  <c r="H29" i="4"/>
  <c r="AB32" i="3"/>
  <c r="V33" i="3"/>
  <c r="AB33" i="3" s="1"/>
  <c r="AC31" i="14"/>
  <c r="W31" i="8"/>
  <c r="Y31" i="8" s="1"/>
  <c r="H30" i="8"/>
  <c r="J30" i="8"/>
  <c r="P29" i="8"/>
  <c r="N30" i="11" l="1"/>
  <c r="N30" i="4"/>
  <c r="N30" i="8"/>
  <c r="N28" i="12"/>
  <c r="N29" i="4"/>
  <c r="N29" i="11"/>
  <c r="N30" i="3"/>
  <c r="Z32" i="8"/>
  <c r="X33" i="8" s="1"/>
  <c r="Z30" i="4"/>
  <c r="X31" i="4" s="1"/>
  <c r="I36" i="13"/>
  <c r="X31" i="14"/>
  <c r="Z31" i="14" s="1"/>
  <c r="X32" i="14" s="1"/>
  <c r="Z29" i="11"/>
  <c r="X30" i="11" s="1"/>
  <c r="Z30" i="12"/>
  <c r="X31" i="12" s="1"/>
  <c r="Z31" i="12" s="1"/>
  <c r="Z30" i="9"/>
  <c r="X31" i="9" s="1"/>
  <c r="X35" i="9" s="1"/>
  <c r="X30" i="5"/>
  <c r="X31" i="3"/>
  <c r="X35" i="3" s="1"/>
  <c r="P30" i="3"/>
  <c r="P25" i="5"/>
  <c r="P19" i="10" s="1"/>
  <c r="N19" i="10"/>
  <c r="AB32" i="5"/>
  <c r="V33" i="5"/>
  <c r="AC32" i="7"/>
  <c r="AC33" i="7"/>
  <c r="H26" i="5"/>
  <c r="J26" i="5"/>
  <c r="J20" i="10" s="1"/>
  <c r="H29" i="7"/>
  <c r="J29" i="7"/>
  <c r="Y26" i="5"/>
  <c r="W27" i="5" s="1"/>
  <c r="Y29" i="7"/>
  <c r="Z31" i="7"/>
  <c r="X32" i="7" s="1"/>
  <c r="W30" i="9"/>
  <c r="AB33" i="9"/>
  <c r="AC33" i="9" s="1"/>
  <c r="P27" i="14"/>
  <c r="J31" i="11"/>
  <c r="H31" i="11"/>
  <c r="AB33" i="12"/>
  <c r="AC33" i="12" s="1"/>
  <c r="W35" i="11"/>
  <c r="Y31" i="11"/>
  <c r="W32" i="11" s="1"/>
  <c r="Y30" i="12"/>
  <c r="W31" i="12" s="1"/>
  <c r="H30" i="12"/>
  <c r="J30" i="12"/>
  <c r="AC33" i="3"/>
  <c r="AC33" i="4"/>
  <c r="H29" i="14"/>
  <c r="J29" i="14"/>
  <c r="Y29" i="14"/>
  <c r="J31" i="4"/>
  <c r="H31" i="4"/>
  <c r="W35" i="4"/>
  <c r="P30" i="4"/>
  <c r="J29" i="9"/>
  <c r="H29" i="9"/>
  <c r="N29" i="9" s="1"/>
  <c r="Y31" i="3"/>
  <c r="W32" i="3" s="1"/>
  <c r="J31" i="3"/>
  <c r="H31" i="3"/>
  <c r="AC32" i="4"/>
  <c r="AB33" i="14"/>
  <c r="AC33" i="14" s="1"/>
  <c r="AC32" i="11"/>
  <c r="J29" i="12"/>
  <c r="H29" i="12"/>
  <c r="AC32" i="3"/>
  <c r="P29" i="3"/>
  <c r="AC33" i="11"/>
  <c r="Y31" i="4"/>
  <c r="W35" i="8"/>
  <c r="W32" i="8"/>
  <c r="Y32" i="8" s="1"/>
  <c r="W33" i="8" s="1"/>
  <c r="H33" i="8" s="1"/>
  <c r="J31" i="8"/>
  <c r="H31" i="8"/>
  <c r="N29" i="12" l="1"/>
  <c r="N31" i="4"/>
  <c r="N30" i="12"/>
  <c r="N31" i="8"/>
  <c r="N29" i="14"/>
  <c r="N29" i="7"/>
  <c r="N31" i="11"/>
  <c r="N26" i="5"/>
  <c r="N31" i="3"/>
  <c r="Z33" i="8"/>
  <c r="X35" i="14"/>
  <c r="X35" i="4"/>
  <c r="Z31" i="4"/>
  <c r="X32" i="4"/>
  <c r="P30" i="11"/>
  <c r="Z30" i="11"/>
  <c r="X31" i="11" s="1"/>
  <c r="X35" i="11" s="1"/>
  <c r="X35" i="12"/>
  <c r="Z31" i="3"/>
  <c r="X32" i="3" s="1"/>
  <c r="X32" i="12"/>
  <c r="Z30" i="5"/>
  <c r="X31" i="5" s="1"/>
  <c r="X35" i="5" s="1"/>
  <c r="Z32" i="14"/>
  <c r="X33" i="14" s="1"/>
  <c r="Z31" i="9"/>
  <c r="X32" i="9" s="1"/>
  <c r="AC32" i="5"/>
  <c r="P30" i="12"/>
  <c r="P29" i="12"/>
  <c r="Z32" i="7"/>
  <c r="X33" i="7" s="1"/>
  <c r="H20" i="10"/>
  <c r="AB33" i="5"/>
  <c r="AC33" i="5" s="1"/>
  <c r="W30" i="7"/>
  <c r="Y27" i="5"/>
  <c r="J27" i="5"/>
  <c r="J21" i="10" s="1"/>
  <c r="H27" i="5"/>
  <c r="J32" i="11"/>
  <c r="H32" i="11"/>
  <c r="N32" i="11" s="1"/>
  <c r="Y32" i="3"/>
  <c r="W33" i="3" s="1"/>
  <c r="J32" i="3"/>
  <c r="H32" i="3"/>
  <c r="Y31" i="12"/>
  <c r="H31" i="12"/>
  <c r="J31" i="12"/>
  <c r="P31" i="4"/>
  <c r="P29" i="11"/>
  <c r="P29" i="4"/>
  <c r="Y32" i="11"/>
  <c r="W33" i="11" s="1"/>
  <c r="J30" i="9"/>
  <c r="H30" i="9"/>
  <c r="N30" i="9" s="1"/>
  <c r="Y30" i="9"/>
  <c r="W32" i="4"/>
  <c r="Y32" i="4" s="1"/>
  <c r="P28" i="12"/>
  <c r="W30" i="14"/>
  <c r="Y30" i="14" s="1"/>
  <c r="W35" i="12"/>
  <c r="Y33" i="8"/>
  <c r="J33" i="8"/>
  <c r="N33" i="8" s="1"/>
  <c r="P30" i="8"/>
  <c r="J32" i="8"/>
  <c r="H32" i="8"/>
  <c r="N32" i="3" l="1"/>
  <c r="N31" i="12"/>
  <c r="N32" i="8"/>
  <c r="N27" i="5"/>
  <c r="Z32" i="4"/>
  <c r="Z32" i="3"/>
  <c r="P31" i="11"/>
  <c r="Z31" i="11"/>
  <c r="X32" i="11" s="1"/>
  <c r="Z32" i="9"/>
  <c r="X33" i="9" s="1"/>
  <c r="Z33" i="14"/>
  <c r="X33" i="4"/>
  <c r="Z31" i="5"/>
  <c r="Z32" i="12"/>
  <c r="X33" i="12" s="1"/>
  <c r="X33" i="3"/>
  <c r="W28" i="5"/>
  <c r="P26" i="5"/>
  <c r="P20" i="10" s="1"/>
  <c r="N20" i="10"/>
  <c r="Z33" i="7"/>
  <c r="H30" i="7"/>
  <c r="J30" i="7"/>
  <c r="Y30" i="7"/>
  <c r="P32" i="3"/>
  <c r="H21" i="10"/>
  <c r="P29" i="7"/>
  <c r="W33" i="4"/>
  <c r="Y33" i="3"/>
  <c r="J33" i="3"/>
  <c r="J35" i="3" s="1"/>
  <c r="K24" i="2" s="1"/>
  <c r="H33" i="3"/>
  <c r="W31" i="9"/>
  <c r="Y31" i="9" s="1"/>
  <c r="J30" i="14"/>
  <c r="H30" i="14"/>
  <c r="J32" i="4"/>
  <c r="H32" i="4"/>
  <c r="N32" i="4" s="1"/>
  <c r="P29" i="14"/>
  <c r="P31" i="3"/>
  <c r="W31" i="14"/>
  <c r="W35" i="14" s="1"/>
  <c r="P29" i="9"/>
  <c r="Y33" i="11"/>
  <c r="J33" i="11"/>
  <c r="J35" i="11" s="1"/>
  <c r="K27" i="2" s="1"/>
  <c r="H33" i="11"/>
  <c r="N33" i="11" s="1"/>
  <c r="W32" i="12"/>
  <c r="Y32" i="12" s="1"/>
  <c r="P33" i="8"/>
  <c r="J35" i="8"/>
  <c r="K30" i="2" s="1"/>
  <c r="P31" i="8"/>
  <c r="H35" i="8"/>
  <c r="H36" i="8" s="1"/>
  <c r="F36" i="8" s="1"/>
  <c r="N30" i="7" l="1"/>
  <c r="N30" i="14"/>
  <c r="H35" i="3"/>
  <c r="H36" i="3" s="1"/>
  <c r="F36" i="3" s="1"/>
  <c r="N33" i="3"/>
  <c r="Z33" i="9"/>
  <c r="P32" i="11"/>
  <c r="Z32" i="11"/>
  <c r="X33" i="11" s="1"/>
  <c r="X32" i="5"/>
  <c r="Z33" i="4"/>
  <c r="Z33" i="12"/>
  <c r="I24" i="2"/>
  <c r="Z33" i="3"/>
  <c r="Y31" i="14"/>
  <c r="W32" i="14" s="1"/>
  <c r="Y32" i="14" s="1"/>
  <c r="W31" i="7"/>
  <c r="Y31" i="7" s="1"/>
  <c r="J28" i="5"/>
  <c r="J22" i="10" s="1"/>
  <c r="H28" i="5"/>
  <c r="N28" i="5" s="1"/>
  <c r="P27" i="5"/>
  <c r="P21" i="10" s="1"/>
  <c r="N21" i="10"/>
  <c r="Y28" i="5"/>
  <c r="W32" i="9"/>
  <c r="P30" i="9"/>
  <c r="P31" i="12"/>
  <c r="W33" i="12"/>
  <c r="Y33" i="12" s="1"/>
  <c r="H31" i="9"/>
  <c r="J31" i="9"/>
  <c r="W35" i="9"/>
  <c r="H35" i="11"/>
  <c r="H36" i="11" s="1"/>
  <c r="F36" i="11" s="1"/>
  <c r="H33" i="4"/>
  <c r="J33" i="4"/>
  <c r="H32" i="12"/>
  <c r="J32" i="12"/>
  <c r="J31" i="14"/>
  <c r="H31" i="14"/>
  <c r="N31" i="14" s="1"/>
  <c r="Y33" i="4"/>
  <c r="I30" i="2"/>
  <c r="P32" i="8"/>
  <c r="N35" i="8"/>
  <c r="O30" i="2" s="1"/>
  <c r="N31" i="9" l="1"/>
  <c r="N32" i="12"/>
  <c r="N33" i="4"/>
  <c r="P33" i="4" s="1"/>
  <c r="Z33" i="11"/>
  <c r="Z32" i="5"/>
  <c r="X33" i="5" s="1"/>
  <c r="I27" i="2"/>
  <c r="P31" i="14"/>
  <c r="I36" i="3"/>
  <c r="L36" i="3"/>
  <c r="H31" i="7"/>
  <c r="J31" i="7"/>
  <c r="W35" i="7"/>
  <c r="W32" i="7"/>
  <c r="H22" i="10"/>
  <c r="P30" i="7"/>
  <c r="W29" i="5"/>
  <c r="Y29" i="5" s="1"/>
  <c r="W33" i="14"/>
  <c r="Y33" i="14" s="1"/>
  <c r="J35" i="4"/>
  <c r="K25" i="2" s="1"/>
  <c r="P30" i="14"/>
  <c r="P33" i="3"/>
  <c r="N35" i="3"/>
  <c r="O24" i="2" s="1"/>
  <c r="H32" i="9"/>
  <c r="J32" i="9"/>
  <c r="Y32" i="9"/>
  <c r="P32" i="4"/>
  <c r="H33" i="12"/>
  <c r="J33" i="12"/>
  <c r="J35" i="12" s="1"/>
  <c r="K31" i="2" s="1"/>
  <c r="H32" i="14"/>
  <c r="J32" i="14"/>
  <c r="H35" i="4"/>
  <c r="H36" i="4" s="1"/>
  <c r="F36" i="4" s="1"/>
  <c r="L36" i="8"/>
  <c r="I36" i="8"/>
  <c r="P35" i="8"/>
  <c r="Q30" i="2" s="1"/>
  <c r="N32" i="14" l="1"/>
  <c r="N32" i="9"/>
  <c r="N31" i="7"/>
  <c r="N33" i="12"/>
  <c r="Z33" i="5"/>
  <c r="I25" i="2"/>
  <c r="P28" i="5"/>
  <c r="P22" i="10" s="1"/>
  <c r="N22" i="10"/>
  <c r="J29" i="5"/>
  <c r="J23" i="10" s="1"/>
  <c r="H29" i="5"/>
  <c r="P33" i="12"/>
  <c r="W30" i="5"/>
  <c r="J32" i="7"/>
  <c r="H32" i="7"/>
  <c r="N32" i="7" s="1"/>
  <c r="Y32" i="7"/>
  <c r="N35" i="4"/>
  <c r="O25" i="2" s="1"/>
  <c r="H35" i="12"/>
  <c r="H36" i="12" s="1"/>
  <c r="F36" i="12" s="1"/>
  <c r="P32" i="12"/>
  <c r="H33" i="14"/>
  <c r="J33" i="14"/>
  <c r="J35" i="14" s="1"/>
  <c r="K33" i="2" s="1"/>
  <c r="P31" i="9"/>
  <c r="W33" i="9"/>
  <c r="P35" i="3"/>
  <c r="Q24" i="2" s="1"/>
  <c r="P35" i="4"/>
  <c r="Q25" i="2" s="1"/>
  <c r="N29" i="5" l="1"/>
  <c r="H35" i="14"/>
  <c r="N33" i="14"/>
  <c r="N35" i="11"/>
  <c r="O27" i="2" s="1"/>
  <c r="P33" i="11"/>
  <c r="P35" i="11" s="1"/>
  <c r="Q27" i="2" s="1"/>
  <c r="P32" i="7"/>
  <c r="I31" i="2"/>
  <c r="I36" i="4"/>
  <c r="L36" i="4"/>
  <c r="W33" i="7"/>
  <c r="H30" i="5"/>
  <c r="J30" i="5"/>
  <c r="J24" i="10" s="1"/>
  <c r="H23" i="10"/>
  <c r="N35" i="12"/>
  <c r="O31" i="2" s="1"/>
  <c r="P35" i="12"/>
  <c r="Q31" i="2" s="1"/>
  <c r="P31" i="7"/>
  <c r="Y30" i="5"/>
  <c r="W31" i="5" s="1"/>
  <c r="J33" i="9"/>
  <c r="H33" i="9"/>
  <c r="P32" i="14"/>
  <c r="Y33" i="9"/>
  <c r="P32" i="9"/>
  <c r="P33" i="14"/>
  <c r="I33" i="2" l="1"/>
  <c r="H36" i="14"/>
  <c r="F36" i="14" s="1"/>
  <c r="N33" i="9"/>
  <c r="N30" i="5"/>
  <c r="L36" i="11"/>
  <c r="I36" i="11"/>
  <c r="L36" i="14"/>
  <c r="I36" i="14"/>
  <c r="I36" i="12"/>
  <c r="L36" i="12"/>
  <c r="P29" i="5"/>
  <c r="P23" i="10" s="1"/>
  <c r="N23" i="10"/>
  <c r="Y31" i="5"/>
  <c r="H31" i="5"/>
  <c r="J31" i="5"/>
  <c r="J25" i="10" s="1"/>
  <c r="W35" i="5"/>
  <c r="H33" i="7"/>
  <c r="J33" i="7"/>
  <c r="J35" i="7" s="1"/>
  <c r="K26" i="2" s="1"/>
  <c r="Y33" i="7"/>
  <c r="H24" i="10"/>
  <c r="N35" i="14"/>
  <c r="O33" i="2" s="1"/>
  <c r="P35" i="14"/>
  <c r="Q33" i="2" s="1"/>
  <c r="H35" i="9"/>
  <c r="H36" i="9" s="1"/>
  <c r="F36" i="9" s="1"/>
  <c r="J35" i="9"/>
  <c r="K29" i="2" s="1"/>
  <c r="N33" i="7" l="1"/>
  <c r="N31" i="5"/>
  <c r="I29" i="2"/>
  <c r="H25" i="10"/>
  <c r="W32" i="5"/>
  <c r="P30" i="5"/>
  <c r="P24" i="10" s="1"/>
  <c r="N24" i="10"/>
  <c r="H35" i="7"/>
  <c r="H36" i="7" s="1"/>
  <c r="F36" i="7" s="1"/>
  <c r="P33" i="9"/>
  <c r="N35" i="9"/>
  <c r="O29" i="2" s="1"/>
  <c r="L36" i="9" l="1"/>
  <c r="I36" i="9"/>
  <c r="I26" i="2"/>
  <c r="J32" i="5"/>
  <c r="J26" i="10" s="1"/>
  <c r="H32" i="5"/>
  <c r="P33" i="7"/>
  <c r="P35" i="7" s="1"/>
  <c r="Q26" i="2" s="1"/>
  <c r="N35" i="7"/>
  <c r="O26" i="2" s="1"/>
  <c r="Y32" i="5"/>
  <c r="W33" i="5" s="1"/>
  <c r="P31" i="5"/>
  <c r="P25" i="10" s="1"/>
  <c r="N25" i="10"/>
  <c r="P35" i="9"/>
  <c r="Q29" i="2" s="1"/>
  <c r="N32" i="5" l="1"/>
  <c r="L36" i="7"/>
  <c r="I36" i="7"/>
  <c r="Y33" i="5"/>
  <c r="J33" i="5"/>
  <c r="H33" i="5"/>
  <c r="H26" i="10"/>
  <c r="N33" i="5" l="1"/>
  <c r="H35" i="5"/>
  <c r="H36" i="5" s="1"/>
  <c r="F36" i="5" s="1"/>
  <c r="H27" i="10"/>
  <c r="H29" i="10" s="1"/>
  <c r="J35" i="5"/>
  <c r="K28" i="2" s="1"/>
  <c r="K34" i="2" s="1"/>
  <c r="J27" i="10"/>
  <c r="J29" i="10" s="1"/>
  <c r="P32" i="5"/>
  <c r="P26" i="10" s="1"/>
  <c r="N26" i="10"/>
  <c r="I28" i="2" l="1"/>
  <c r="I34" i="2" s="1"/>
  <c r="I35" i="2" s="1"/>
  <c r="P33" i="5"/>
  <c r="N35" i="5"/>
  <c r="O28" i="2" s="1"/>
  <c r="O34" i="2" s="1"/>
  <c r="N27" i="10"/>
  <c r="N29" i="10" s="1"/>
  <c r="L35" i="2" l="1"/>
  <c r="Q36" i="2"/>
  <c r="I36" i="5"/>
  <c r="L36" i="5"/>
  <c r="P35" i="5"/>
  <c r="Q28" i="2" s="1"/>
  <c r="Q34" i="2" s="1"/>
  <c r="P27" i="10"/>
  <c r="P29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muster</author>
    <author>René Gehri</author>
  </authors>
  <commentList>
    <comment ref="B2" authorId="0" shapeId="0" xr:uid="{00000000-0006-0000-0000-000001000000}">
      <text>
        <r>
          <rPr>
            <sz val="8"/>
            <color indexed="81"/>
            <rFont val="Tahoma"/>
            <family val="2"/>
          </rPr>
          <t>Bitte im hellblauen Feld Namen der Firma eintragen.</t>
        </r>
      </text>
    </comment>
    <comment ref="B3" authorId="0" shapeId="0" xr:uid="{00000000-0006-0000-0000-000002000000}">
      <text>
        <r>
          <rPr>
            <sz val="8"/>
            <color indexed="81"/>
            <rFont val="Tahoma"/>
            <family val="2"/>
          </rPr>
          <t>Bitte im hellblauen Feld PLZ und Ort eintragen.</t>
        </r>
      </text>
    </comment>
    <comment ref="C13" authorId="1" shapeId="0" xr:uid="{00000000-0006-0000-0000-000003000000}">
      <text>
        <r>
          <rPr>
            <sz val="8"/>
            <color indexed="10"/>
            <rFont val="Tahoma"/>
            <family val="2"/>
          </rPr>
          <t xml:space="preserve">Bitte vor der ersten Berechnung in den hellblauen Feldern die Abzugs-Prozentsätze für die Arbeitnehmer (AN) eingeben:
</t>
        </r>
        <r>
          <rPr>
            <b/>
            <sz val="8"/>
            <color indexed="10"/>
            <rFont val="Tahoma"/>
            <family val="2"/>
          </rPr>
          <t xml:space="preserve">
NBU* = Nichtbetriebsunfall (AN-Anteil)
KTG* = Krankentaggeld (AN-Anteil)
(*) Diese Werte sind auf den entsprechenden Versicherungspolicen
zu finden. 
</t>
        </r>
      </text>
    </comment>
    <comment ref="M21" authorId="1" shapeId="0" xr:uid="{00000000-0006-0000-0000-000004000000}">
      <text>
        <r>
          <rPr>
            <sz val="8"/>
            <color indexed="81"/>
            <rFont val="Tahoma"/>
            <family val="2"/>
          </rPr>
          <t>Freie definierbare Felder für z.B. Quellensteuer,  Sonderabzüge oder Spezialfälle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Roniger</author>
    <author>René Gehri</author>
  </authors>
  <commentList>
    <comment ref="C4" authorId="0" shapeId="0" xr:uid="{00000000-0006-0000-0900-000001000000}">
      <text>
        <r>
          <rPr>
            <sz val="8"/>
            <color indexed="81"/>
            <rFont val="Tahoma"/>
            <family val="2"/>
          </rPr>
          <t xml:space="preserve">Bitte hier die Personaldaten 
Name / Vorname, Adresse, etc. erfassen
</t>
        </r>
      </text>
    </comment>
    <comment ref="I7" authorId="1" shapeId="0" xr:uid="{00000000-0006-0000-0900-000002000000}">
      <text>
        <r>
          <rPr>
            <sz val="8"/>
            <color indexed="81"/>
            <rFont val="Tahoma"/>
            <family val="2"/>
          </rPr>
          <t>Bitte hier eingeben:
M = männlich
W = weiblich</t>
        </r>
      </text>
    </comment>
    <comment ref="H15" authorId="1" shapeId="0" xr:uid="{00000000-0006-0000-0900-000003000000}">
      <text>
        <r>
          <rPr>
            <sz val="8"/>
            <color indexed="81"/>
            <rFont val="Tahoma"/>
            <family val="2"/>
          </rPr>
          <t>Bei Rentnern,
hier bitte 0.00% 
eintragen.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5" authorId="1" shapeId="0" xr:uid="{00000000-0006-0000-0900-000004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5" authorId="1" shapeId="0" xr:uid="{00000000-0006-0000-0900-000005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Roniger</author>
    <author>René Gehri</author>
  </authors>
  <commentList>
    <comment ref="C4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Bitte hier die Personaldaten 
Name / Vorname, Adresse, etc. erfassen
</t>
        </r>
      </text>
    </comment>
    <comment ref="I7" authorId="1" shapeId="0" xr:uid="{00000000-0006-0000-0A00-000002000000}">
      <text>
        <r>
          <rPr>
            <sz val="8"/>
            <color indexed="81"/>
            <rFont val="Tahoma"/>
            <family val="2"/>
          </rPr>
          <t>Bitte hier eingeben:
M = männlich
W = weiblich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5" authorId="1" shapeId="0" xr:uid="{00000000-0006-0000-0A00-000003000000}">
      <text>
        <r>
          <rPr>
            <sz val="8"/>
            <color indexed="81"/>
            <rFont val="Tahoma"/>
            <family val="2"/>
          </rPr>
          <t>Bei Rentnern,
hier bitte 0.00% 
eintragen.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5" authorId="1" shapeId="0" xr:uid="{00000000-0006-0000-0A00-000004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5" authorId="1" shapeId="0" xr:uid="{00000000-0006-0000-0A00-000005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Roniger</author>
    <author>René Gehri</author>
  </authors>
  <commentList>
    <comment ref="C4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Bitte hier die Personaldaten 
Name / Vorname, Adresse, etc. erfassen
</t>
        </r>
      </text>
    </comment>
    <comment ref="I7" authorId="1" shapeId="0" xr:uid="{00000000-0006-0000-0100-000002000000}">
      <text>
        <r>
          <rPr>
            <sz val="8"/>
            <color indexed="81"/>
            <rFont val="Tahoma"/>
            <family val="2"/>
          </rPr>
          <t>Bitte hier eingeben:
M = männlich
W = weiblich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5" authorId="1" shapeId="0" xr:uid="{00000000-0006-0000-0100-000003000000}">
      <text>
        <r>
          <rPr>
            <sz val="8"/>
            <color indexed="81"/>
            <rFont val="Tahoma"/>
            <family val="2"/>
          </rPr>
          <t>Bei Rentnern,
hier bitte 0.00% 
eintragen.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5" authorId="1" shapeId="0" xr:uid="{00000000-0006-0000-0100-000004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5" authorId="1" shapeId="0" xr:uid="{00000000-0006-0000-0100-000005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Roniger</author>
    <author>René Gehri</author>
  </authors>
  <commentList>
    <comment ref="C4" authorId="0" shapeId="0" xr:uid="{00000000-0006-0000-0200-000001000000}">
      <text>
        <r>
          <rPr>
            <sz val="8"/>
            <color indexed="81"/>
            <rFont val="Tahoma"/>
            <family val="2"/>
          </rPr>
          <t xml:space="preserve">Bitte hier die Personaldaten 
Name / Vorname, Adresse, etc. erfassen
</t>
        </r>
      </text>
    </comment>
    <comment ref="I7" authorId="1" shapeId="0" xr:uid="{00000000-0006-0000-0200-000002000000}">
      <text>
        <r>
          <rPr>
            <sz val="8"/>
            <color indexed="81"/>
            <rFont val="Tahoma"/>
            <family val="2"/>
          </rPr>
          <t>Bitte hier eingeben:
M = männlich
W = weiblich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5" authorId="1" shapeId="0" xr:uid="{00000000-0006-0000-0200-000003000000}">
      <text>
        <r>
          <rPr>
            <sz val="8"/>
            <color indexed="81"/>
            <rFont val="Tahoma"/>
            <family val="2"/>
          </rPr>
          <t>Bei Rentnern,
hier bitte 0.00% 
eintragen.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5" authorId="1" shapeId="0" xr:uid="{00000000-0006-0000-0200-000004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5" authorId="1" shapeId="0" xr:uid="{00000000-0006-0000-0200-000005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Roniger</author>
    <author>René Gehri</author>
  </authors>
  <commentList>
    <comment ref="C4" authorId="0" shapeId="0" xr:uid="{00000000-0006-0000-0300-000001000000}">
      <text>
        <r>
          <rPr>
            <sz val="8"/>
            <color indexed="81"/>
            <rFont val="Tahoma"/>
            <family val="2"/>
          </rPr>
          <t xml:space="preserve">Bitte hier die Personaldaten 
Name / Vorname, Adresse, etc. erfassen
</t>
        </r>
      </text>
    </comment>
    <comment ref="I7" authorId="1" shapeId="0" xr:uid="{00000000-0006-0000-0300-000002000000}">
      <text>
        <r>
          <rPr>
            <sz val="8"/>
            <color indexed="81"/>
            <rFont val="Tahoma"/>
            <family val="2"/>
          </rPr>
          <t>Bitte hier eingeben:
M = männlich
W = weiblich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5" authorId="1" shapeId="0" xr:uid="{00000000-0006-0000-0300-000003000000}">
      <text>
        <r>
          <rPr>
            <sz val="8"/>
            <color indexed="81"/>
            <rFont val="Tahoma"/>
            <family val="2"/>
          </rPr>
          <t>Bei Rentnern,
hier bitte 0.00% 
eintragen.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5" authorId="1" shapeId="0" xr:uid="{00000000-0006-0000-0300-000004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5" authorId="1" shapeId="0" xr:uid="{00000000-0006-0000-0300-000005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Roniger</author>
    <author>René Gehri</author>
  </authors>
  <commentList>
    <comment ref="C4" authorId="0" shapeId="0" xr:uid="{00000000-0006-0000-0400-000001000000}">
      <text>
        <r>
          <rPr>
            <sz val="8"/>
            <color indexed="81"/>
            <rFont val="Tahoma"/>
            <family val="2"/>
          </rPr>
          <t xml:space="preserve">Bitte hier die Personaldaten 
Name / Vorname, Adresse, etc. erfassen
</t>
        </r>
      </text>
    </comment>
    <comment ref="I7" authorId="1" shapeId="0" xr:uid="{00000000-0006-0000-0400-000002000000}">
      <text>
        <r>
          <rPr>
            <sz val="8"/>
            <color indexed="81"/>
            <rFont val="Tahoma"/>
            <family val="2"/>
          </rPr>
          <t>Bitte hier eingeben:
M = männlich
W = weiblich</t>
        </r>
      </text>
    </comment>
    <comment ref="H15" authorId="1" shapeId="0" xr:uid="{00000000-0006-0000-0400-000003000000}">
      <text>
        <r>
          <rPr>
            <sz val="8"/>
            <color indexed="81"/>
            <rFont val="Tahoma"/>
            <family val="2"/>
          </rPr>
          <t>Bei Rentnern,
hier bitte 0.00% 
eintragen.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5" authorId="1" shapeId="0" xr:uid="{00000000-0006-0000-0400-000004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5" authorId="1" shapeId="0" xr:uid="{00000000-0006-0000-0400-000005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Roniger</author>
    <author>René Gehri</author>
  </authors>
  <commentList>
    <comment ref="C4" authorId="0" shapeId="0" xr:uid="{00000000-0006-0000-0500-000001000000}">
      <text>
        <r>
          <rPr>
            <sz val="8"/>
            <color indexed="81"/>
            <rFont val="Tahoma"/>
            <family val="2"/>
          </rPr>
          <t xml:space="preserve">Bitte hier die Personaldaten 
Name / Vorname, Adresse, etc. erfassen
</t>
        </r>
      </text>
    </comment>
    <comment ref="I7" authorId="1" shapeId="0" xr:uid="{00000000-0006-0000-0500-000002000000}">
      <text>
        <r>
          <rPr>
            <sz val="8"/>
            <color indexed="81"/>
            <rFont val="Tahoma"/>
            <family val="2"/>
          </rPr>
          <t>Bitte hier eingeben:
M = männlich
W = weiblich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5" authorId="1" shapeId="0" xr:uid="{00000000-0006-0000-0500-000003000000}">
      <text>
        <r>
          <rPr>
            <sz val="8"/>
            <color indexed="81"/>
            <rFont val="Tahoma"/>
            <family val="2"/>
          </rPr>
          <t>Bei Rentnern,
hier bitte 0.00% 
eintragen.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5" authorId="1" shapeId="0" xr:uid="{00000000-0006-0000-0500-000004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5" authorId="1" shapeId="0" xr:uid="{00000000-0006-0000-0500-000005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Roniger</author>
    <author>René Gehri</author>
  </authors>
  <commentList>
    <comment ref="C4" authorId="0" shapeId="0" xr:uid="{00000000-0006-0000-0600-000001000000}">
      <text>
        <r>
          <rPr>
            <sz val="8"/>
            <color indexed="81"/>
            <rFont val="Tahoma"/>
            <family val="2"/>
          </rPr>
          <t xml:space="preserve">Bitte hier die Personaldaten 
Name / Vorname, Adresse, etc. erfassen
</t>
        </r>
      </text>
    </comment>
    <comment ref="I7" authorId="1" shapeId="0" xr:uid="{00000000-0006-0000-0600-000002000000}">
      <text>
        <r>
          <rPr>
            <sz val="8"/>
            <color indexed="81"/>
            <rFont val="Tahoma"/>
            <family val="2"/>
          </rPr>
          <t>Bitte hier eingeben:
M = männlich
W = weiblich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5" authorId="1" shapeId="0" xr:uid="{00000000-0006-0000-0600-000003000000}">
      <text>
        <r>
          <rPr>
            <sz val="8"/>
            <color indexed="81"/>
            <rFont val="Tahoma"/>
            <family val="2"/>
          </rPr>
          <t>Bei Rentnern,
hier bitte 0.00% 
eintragen.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5" authorId="1" shapeId="0" xr:uid="{00000000-0006-0000-0600-000004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5" authorId="1" shapeId="0" xr:uid="{00000000-0006-0000-0600-000005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Roniger</author>
    <author>René Gehri</author>
  </authors>
  <commentList>
    <comment ref="C4" authorId="0" shapeId="0" xr:uid="{00000000-0006-0000-0700-000001000000}">
      <text>
        <r>
          <rPr>
            <sz val="8"/>
            <color indexed="81"/>
            <rFont val="Tahoma"/>
            <family val="2"/>
          </rPr>
          <t xml:space="preserve">Bitte hier die Personaldaten 
Name / Vorname, Adresse, etc. erfassen
</t>
        </r>
      </text>
    </comment>
    <comment ref="I7" authorId="1" shapeId="0" xr:uid="{00000000-0006-0000-0700-000002000000}">
      <text>
        <r>
          <rPr>
            <sz val="8"/>
            <color indexed="81"/>
            <rFont val="Tahoma"/>
            <family val="2"/>
          </rPr>
          <t>Bitte hier eingeben:
M = männlich
W = weiblich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5" authorId="1" shapeId="0" xr:uid="{00000000-0006-0000-0700-000003000000}">
      <text>
        <r>
          <rPr>
            <sz val="8"/>
            <color indexed="81"/>
            <rFont val="Tahoma"/>
            <family val="2"/>
          </rPr>
          <t>Bei Rentnern,
hier bitte 0.00% 
eintragen.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5" authorId="1" shapeId="0" xr:uid="{00000000-0006-0000-0700-000004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5" authorId="1" shapeId="0" xr:uid="{00000000-0006-0000-0700-000005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Roniger</author>
    <author>René Gehri</author>
  </authors>
  <commentList>
    <comment ref="C4" authorId="0" shapeId="0" xr:uid="{00000000-0006-0000-0800-000001000000}">
      <text>
        <r>
          <rPr>
            <sz val="8"/>
            <color indexed="81"/>
            <rFont val="Tahoma"/>
            <family val="2"/>
          </rPr>
          <t xml:space="preserve">Bitte hier die Personaldaten 
Name / Vorname, Adresse, etc. erfassen
</t>
        </r>
      </text>
    </comment>
    <comment ref="I7" authorId="1" shapeId="0" xr:uid="{00000000-0006-0000-0800-000002000000}">
      <text>
        <r>
          <rPr>
            <sz val="8"/>
            <color indexed="81"/>
            <rFont val="Tahoma"/>
            <family val="2"/>
          </rPr>
          <t>Bitte hier eingeben:
M = männlich
W = weiblich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5" authorId="1" shapeId="0" xr:uid="{00000000-0006-0000-0800-000003000000}">
      <text>
        <r>
          <rPr>
            <sz val="8"/>
            <color indexed="81"/>
            <rFont val="Tahoma"/>
            <family val="2"/>
          </rPr>
          <t>Bei Rentnern,
hier bitte 0.00% 
eintragen.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5" authorId="1" shapeId="0" xr:uid="{00000000-0006-0000-0800-000004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5" authorId="1" shapeId="0" xr:uid="{00000000-0006-0000-0800-000005000000}">
      <text>
        <r>
          <rPr>
            <sz val="8"/>
            <color indexed="81"/>
            <rFont val="Tahoma"/>
            <family val="2"/>
          </rPr>
          <t>Falls Sie den in der Zusammenstellung erfassten Wert überschreiben möchten, ist dies hier möglich.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<sst xmlns="http://schemas.openxmlformats.org/spreadsheetml/2006/main" count="396" uniqueCount="64">
  <si>
    <t>Total</t>
  </si>
  <si>
    <t>Lohnzusammenstellung</t>
  </si>
  <si>
    <t>Name / Vorname</t>
  </si>
  <si>
    <t>Eintritt</t>
  </si>
  <si>
    <t>Beruf</t>
  </si>
  <si>
    <t>Austritt</t>
  </si>
  <si>
    <t>Adresse</t>
  </si>
  <si>
    <t>Geschlecht</t>
  </si>
  <si>
    <t>Geburtsdatum</t>
  </si>
  <si>
    <t>Monat</t>
  </si>
  <si>
    <t>AHV-Lohn</t>
  </si>
  <si>
    <t>nicht AHV-pflichtig</t>
  </si>
  <si>
    <t>Unfall- und
Kranken-
taggeld</t>
  </si>
  <si>
    <t>Kinder-
zulagen</t>
  </si>
  <si>
    <t>BVG</t>
  </si>
  <si>
    <t>NBU</t>
  </si>
  <si>
    <t>KTG</t>
  </si>
  <si>
    <t>Nettolohn</t>
  </si>
  <si>
    <t xml:space="preserve">Spesen </t>
  </si>
  <si>
    <t>Auszahlung</t>
  </si>
  <si>
    <t>13. Monatslohn</t>
  </si>
  <si>
    <t>Reserve</t>
  </si>
  <si>
    <t>Abzüge Betrieb:</t>
  </si>
  <si>
    <t>KTG Männer</t>
  </si>
  <si>
    <t>KTG Frauen</t>
  </si>
  <si>
    <t>Ang1</t>
  </si>
  <si>
    <t>Ang2</t>
  </si>
  <si>
    <t>Ang3</t>
  </si>
  <si>
    <t>Ang4</t>
  </si>
  <si>
    <t>Ang5</t>
  </si>
  <si>
    <t>Ang6</t>
  </si>
  <si>
    <t>Ang7</t>
  </si>
  <si>
    <t>Kontrolltotal:</t>
  </si>
  <si>
    <t>PLZ / Ort</t>
  </si>
  <si>
    <t>Total Bruttolohn</t>
  </si>
  <si>
    <t>Bemerkungen:</t>
  </si>
  <si>
    <t>persönliche Notizen (Achtung: Nachfolgende Zeilen sind nur für interne Kommentare bestimmt. Dieser Bereich wird nicht angedruckt).</t>
  </si>
  <si>
    <t>ALV</t>
  </si>
  <si>
    <t>AHV</t>
  </si>
  <si>
    <t>bis:</t>
  </si>
  <si>
    <t>Jahresgehalt (für Berechnung ALV-Abzug):</t>
  </si>
  <si>
    <t>Korrektur/manuell:</t>
  </si>
  <si>
    <t>Lohnblatt</t>
  </si>
  <si>
    <t>von</t>
  </si>
  <si>
    <t>bis</t>
  </si>
  <si>
    <t>Anstellungzeit</t>
  </si>
  <si>
    <t>Anzahl Tage</t>
  </si>
  <si>
    <t>Tage kumul</t>
  </si>
  <si>
    <t>ALV-Max</t>
  </si>
  <si>
    <t>AHV-kumuliert</t>
  </si>
  <si>
    <t>Basis</t>
  </si>
  <si>
    <t>Basis kum</t>
  </si>
  <si>
    <t>Achtung: Obige Werte während des Jahres nicht verändern!</t>
  </si>
  <si>
    <t xml:space="preserve">Monatstotale aller Mitarbeitenden (Rekapitulation) </t>
  </si>
  <si>
    <t>AHV-Nummer (alt)</t>
  </si>
  <si>
    <t>Versichertennummer (neu)</t>
  </si>
  <si>
    <t>Ang8</t>
  </si>
  <si>
    <t>Ang9</t>
  </si>
  <si>
    <t>Ang10</t>
  </si>
  <si>
    <t>ALV-MAX II</t>
  </si>
  <si>
    <t>Basis II</t>
  </si>
  <si>
    <t>BasisII kum</t>
  </si>
  <si>
    <t>Referenzalter</t>
  </si>
  <si>
    <t>Pensioniert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</si>
</sst>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S_F_r_._-;\-* #,##0.00\ _S_F_r_._-;_-* &quot;-&quot;??\ _S_F_r_._-;_-@_-"/>
    <numFmt numFmtId="165" formatCode="#,##0.00_ ;[Red]\-#,##0.00\ "/>
    <numFmt numFmtId="166" formatCode="mmmm"/>
    <numFmt numFmtId="167" formatCode="0.0"/>
    <numFmt numFmtId="168" formatCode="#,##0_ ;[Red]\-#,##0\ "/>
    <numFmt numFmtId="169" formatCode="0.000%"/>
    <numFmt numFmtId="170" formatCode="_-* #,##0\ _S_F_r_._-;\-* #,##0\ _S_F_r_._-;_-* &quot;-&quot;??\ _S_F_r_._-;_-@_-"/>
    <numFmt numFmtId="171" formatCode="mmm\ yyyy"/>
    <numFmt numFmtId="172" formatCode="#,##0_ ;\-#,##0\ "/>
  </numFmts>
  <fonts count="38" x14ac:knownFonts="1">
    <font>
      <sz val="11"/>
      <name val="Times New Roman"/>
    </font>
    <font>
      <sz val="11"/>
      <name val="Times New Roman"/>
      <family val="1"/>
    </font>
    <font>
      <sz val="8"/>
      <color indexed="81"/>
      <name val="Tahoma"/>
      <family val="2"/>
    </font>
    <font>
      <u/>
      <sz val="9.9"/>
      <color indexed="12"/>
      <name val="Times New Roman"/>
      <family val="1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sz val="10"/>
      <name val="Segoe UI"/>
      <family val="2"/>
    </font>
    <font>
      <b/>
      <sz val="12"/>
      <color indexed="8"/>
      <name val="Segoe UI"/>
      <family val="2"/>
    </font>
    <font>
      <b/>
      <sz val="14"/>
      <name val="Segoe UI"/>
      <family val="2"/>
    </font>
    <font>
      <sz val="14"/>
      <name val="Segoe UI"/>
      <family val="2"/>
    </font>
    <font>
      <b/>
      <sz val="14"/>
      <color indexed="8"/>
      <name val="Segoe UI"/>
      <family val="2"/>
    </font>
    <font>
      <b/>
      <sz val="10"/>
      <name val="Segoe UI"/>
      <family val="2"/>
    </font>
    <font>
      <sz val="10"/>
      <color theme="0"/>
      <name val="Segoe UI"/>
      <family val="2"/>
    </font>
    <font>
      <b/>
      <sz val="10"/>
      <color rgb="FFFF0000"/>
      <name val="Segoe UI"/>
      <family val="2"/>
    </font>
    <font>
      <sz val="8"/>
      <color indexed="10"/>
      <name val="Segoe UI"/>
      <family val="2"/>
    </font>
    <font>
      <b/>
      <sz val="9"/>
      <name val="Segoe UI"/>
      <family val="2"/>
    </font>
    <font>
      <i/>
      <sz val="9"/>
      <name val="Segoe UI"/>
      <family val="2"/>
    </font>
    <font>
      <sz val="6"/>
      <name val="Segoe UI"/>
      <family val="2"/>
    </font>
    <font>
      <sz val="8"/>
      <name val="Segoe UI"/>
      <family val="2"/>
    </font>
    <font>
      <i/>
      <sz val="8"/>
      <name val="Segoe UI"/>
      <family val="2"/>
    </font>
    <font>
      <sz val="11"/>
      <name val="Segoe UI"/>
      <family val="2"/>
    </font>
    <font>
      <sz val="9.9"/>
      <color indexed="12"/>
      <name val="Segoe UI"/>
      <family val="2"/>
    </font>
    <font>
      <sz val="11"/>
      <color indexed="10"/>
      <name val="Segoe UI"/>
      <family val="2"/>
    </font>
    <font>
      <b/>
      <sz val="11"/>
      <color indexed="10"/>
      <name val="Segoe UI"/>
      <family val="2"/>
    </font>
    <font>
      <b/>
      <u/>
      <sz val="11"/>
      <color indexed="10"/>
      <name val="Segoe UI"/>
      <family val="2"/>
    </font>
    <font>
      <b/>
      <sz val="11"/>
      <color rgb="FFFF0000"/>
      <name val="Segoe UI"/>
      <family val="2"/>
    </font>
    <font>
      <u/>
      <sz val="10"/>
      <name val="Segoe UI"/>
      <family val="2"/>
    </font>
    <font>
      <u/>
      <sz val="10"/>
      <color indexed="10"/>
      <name val="Segoe UI"/>
      <family val="2"/>
    </font>
    <font>
      <sz val="10"/>
      <color indexed="10"/>
      <name val="Segoe UI"/>
      <family val="2"/>
    </font>
    <font>
      <b/>
      <sz val="11"/>
      <name val="Segoe UI"/>
      <family val="2"/>
    </font>
    <font>
      <sz val="11"/>
      <color rgb="FFFF0000"/>
      <name val="Segoe UI"/>
      <family val="2"/>
    </font>
    <font>
      <sz val="11"/>
      <color theme="6" tint="-0.249977111117893"/>
      <name val="Segoe UI"/>
      <family val="2"/>
    </font>
    <font>
      <sz val="11"/>
      <color indexed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u/>
      <sz val="11"/>
      <name val="Segoe UI"/>
      <family val="2"/>
    </font>
    <font>
      <u/>
      <sz val="11"/>
      <color indexed="10"/>
      <name val="Segoe UI"/>
      <family val="2"/>
    </font>
    <font>
      <sz val="7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B9E4F9"/>
        <bgColor indexed="64"/>
      </patternFill>
    </fill>
  </fills>
  <borders count="1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164" fontId="6" fillId="0" borderId="0" xfId="2" applyFont="1" applyProtection="1">
      <protection hidden="1"/>
    </xf>
    <xf numFmtId="1" fontId="7" fillId="0" borderId="0" xfId="2" applyNumberFormat="1" applyFont="1" applyFill="1" applyAlignment="1" applyProtection="1">
      <alignment horizontal="left" shrinkToFit="1"/>
    </xf>
    <xf numFmtId="49" fontId="8" fillId="0" borderId="0" xfId="2" applyNumberFormat="1" applyFont="1" applyAlignment="1" applyProtection="1">
      <alignment horizontal="left"/>
      <protection hidden="1"/>
    </xf>
    <xf numFmtId="164" fontId="9" fillId="0" borderId="0" xfId="2" applyFont="1" applyProtection="1">
      <protection hidden="1"/>
    </xf>
    <xf numFmtId="164" fontId="8" fillId="0" borderId="0" xfId="2" applyFont="1" applyProtection="1">
      <protection hidden="1"/>
    </xf>
    <xf numFmtId="1" fontId="10" fillId="0" borderId="0" xfId="2" applyNumberFormat="1" applyFont="1" applyFill="1" applyAlignment="1" applyProtection="1">
      <alignment horizontal="center"/>
    </xf>
    <xf numFmtId="164" fontId="6" fillId="0" borderId="0" xfId="2" applyFont="1" applyBorder="1" applyProtection="1">
      <protection hidden="1"/>
    </xf>
    <xf numFmtId="164" fontId="11" fillId="0" borderId="0" xfId="2" applyFont="1" applyProtection="1">
      <protection hidden="1"/>
    </xf>
    <xf numFmtId="169" fontId="11" fillId="0" borderId="0" xfId="3" applyNumberFormat="1" applyFont="1" applyFill="1" applyAlignment="1" applyProtection="1">
      <alignment horizontal="center"/>
    </xf>
    <xf numFmtId="49" fontId="6" fillId="0" borderId="0" xfId="2" applyNumberFormat="1" applyFont="1" applyProtection="1">
      <protection hidden="1"/>
    </xf>
    <xf numFmtId="49" fontId="6" fillId="0" borderId="0" xfId="2" applyNumberFormat="1" applyFont="1" applyAlignment="1" applyProtection="1">
      <alignment horizontal="right"/>
      <protection hidden="1"/>
    </xf>
    <xf numFmtId="168" fontId="6" fillId="0" borderId="0" xfId="2" applyNumberFormat="1" applyFont="1" applyAlignment="1" applyProtection="1">
      <alignment shrinkToFit="1"/>
      <protection hidden="1"/>
    </xf>
    <xf numFmtId="168" fontId="12" fillId="0" borderId="0" xfId="2" applyNumberFormat="1" applyFont="1" applyAlignment="1" applyProtection="1">
      <alignment shrinkToFit="1"/>
      <protection hidden="1"/>
    </xf>
    <xf numFmtId="169" fontId="13" fillId="3" borderId="0" xfId="3" applyNumberFormat="1" applyFont="1" applyFill="1" applyAlignment="1" applyProtection="1">
      <alignment horizontal="center"/>
      <protection locked="0"/>
    </xf>
    <xf numFmtId="164" fontId="14" fillId="0" borderId="0" xfId="2" applyFont="1" applyProtection="1">
      <protection hidden="1"/>
    </xf>
    <xf numFmtId="164" fontId="11" fillId="0" borderId="0" xfId="2" applyFont="1" applyAlignment="1" applyProtection="1">
      <alignment horizontal="center" vertical="center"/>
      <protection hidden="1"/>
    </xf>
    <xf numFmtId="0" fontId="15" fillId="3" borderId="3" xfId="3" applyNumberFormat="1" applyFont="1" applyFill="1" applyBorder="1" applyAlignment="1" applyProtection="1">
      <alignment horizontal="center"/>
      <protection locked="0"/>
    </xf>
    <xf numFmtId="164" fontId="16" fillId="0" borderId="0" xfId="2" applyFont="1" applyProtection="1">
      <protection hidden="1"/>
    </xf>
    <xf numFmtId="165" fontId="6" fillId="0" borderId="0" xfId="2" applyNumberFormat="1" applyFont="1" applyAlignment="1" applyProtection="1">
      <alignment shrinkToFit="1"/>
      <protection hidden="1"/>
    </xf>
    <xf numFmtId="165" fontId="11" fillId="0" borderId="0" xfId="2" applyNumberFormat="1" applyFont="1" applyAlignment="1" applyProtection="1">
      <alignment shrinkToFit="1"/>
      <protection hidden="1"/>
    </xf>
    <xf numFmtId="164" fontId="6" fillId="0" borderId="0" xfId="2" applyFont="1" applyAlignment="1" applyProtection="1">
      <alignment shrinkToFit="1"/>
      <protection hidden="1"/>
    </xf>
    <xf numFmtId="165" fontId="11" fillId="0" borderId="2" xfId="2" applyNumberFormat="1" applyFont="1" applyBorder="1" applyAlignment="1" applyProtection="1">
      <alignment shrinkToFit="1"/>
      <protection hidden="1"/>
    </xf>
    <xf numFmtId="165" fontId="6" fillId="0" borderId="2" xfId="2" applyNumberFormat="1" applyFont="1" applyBorder="1" applyAlignment="1" applyProtection="1">
      <alignment shrinkToFit="1"/>
      <protection hidden="1"/>
    </xf>
    <xf numFmtId="165" fontId="19" fillId="0" borderId="0" xfId="2" applyNumberFormat="1" applyFont="1" applyBorder="1" applyAlignment="1" applyProtection="1">
      <alignment shrinkToFit="1"/>
      <protection hidden="1"/>
    </xf>
    <xf numFmtId="0" fontId="20" fillId="0" borderId="0" xfId="0" applyFont="1" applyProtection="1">
      <protection hidden="1"/>
    </xf>
    <xf numFmtId="0" fontId="11" fillId="0" borderId="0" xfId="0" applyFont="1" applyProtection="1">
      <protection hidden="1"/>
    </xf>
    <xf numFmtId="4" fontId="20" fillId="0" borderId="0" xfId="0" applyNumberFormat="1" applyFont="1" applyProtection="1">
      <protection hidden="1"/>
    </xf>
    <xf numFmtId="0" fontId="20" fillId="0" borderId="0" xfId="0" applyFont="1"/>
    <xf numFmtId="0" fontId="21" fillId="0" borderId="0" xfId="1" applyFont="1" applyAlignment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0" fontId="18" fillId="0" borderId="0" xfId="0" applyFont="1" applyProtection="1">
      <protection hidden="1"/>
    </xf>
    <xf numFmtId="1" fontId="8" fillId="0" borderId="0" xfId="2" applyNumberFormat="1" applyFont="1" applyAlignment="1" applyProtection="1">
      <alignment horizontal="left"/>
      <protection hidden="1"/>
    </xf>
    <xf numFmtId="1" fontId="10" fillId="0" borderId="0" xfId="2" applyNumberFormat="1" applyFont="1" applyFill="1" applyAlignment="1" applyProtection="1">
      <alignment horizontal="left"/>
      <protection hidden="1"/>
    </xf>
    <xf numFmtId="164" fontId="20" fillId="0" borderId="0" xfId="2" applyFont="1" applyProtection="1">
      <protection hidden="1"/>
    </xf>
    <xf numFmtId="49" fontId="8" fillId="0" borderId="0" xfId="2" applyNumberFormat="1" applyFont="1" applyAlignment="1" applyProtection="1">
      <alignment horizontal="right"/>
      <protection hidden="1"/>
    </xf>
    <xf numFmtId="1" fontId="10" fillId="0" borderId="0" xfId="2" applyNumberFormat="1" applyFont="1" applyFill="1" applyAlignment="1" applyProtection="1">
      <alignment horizontal="center"/>
      <protection hidden="1"/>
    </xf>
    <xf numFmtId="49" fontId="20" fillId="0" borderId="0" xfId="2" applyNumberFormat="1" applyFont="1" applyProtection="1">
      <protection hidden="1"/>
    </xf>
    <xf numFmtId="49" fontId="20" fillId="0" borderId="0" xfId="2" applyNumberFormat="1" applyFont="1" applyAlignment="1" applyProtection="1">
      <alignment horizontal="left"/>
      <protection hidden="1"/>
    </xf>
    <xf numFmtId="1" fontId="20" fillId="0" borderId="0" xfId="2" applyNumberFormat="1" applyFont="1" applyAlignment="1" applyProtection="1">
      <alignment horizontal="left"/>
      <protection hidden="1"/>
    </xf>
    <xf numFmtId="164" fontId="22" fillId="0" borderId="0" xfId="2" applyFont="1" applyProtection="1">
      <protection hidden="1"/>
    </xf>
    <xf numFmtId="14" fontId="20" fillId="0" borderId="0" xfId="0" applyNumberFormat="1" applyFont="1" applyProtection="1">
      <protection hidden="1"/>
    </xf>
    <xf numFmtId="164" fontId="23" fillId="0" borderId="0" xfId="2" applyFont="1" applyProtection="1">
      <protection hidden="1"/>
    </xf>
    <xf numFmtId="1" fontId="24" fillId="0" borderId="0" xfId="2" applyNumberFormat="1" applyFont="1" applyProtection="1">
      <protection hidden="1"/>
    </xf>
    <xf numFmtId="164" fontId="11" fillId="3" borderId="0" xfId="2" applyFont="1" applyFill="1" applyAlignment="1" applyProtection="1">
      <alignment horizontal="center"/>
      <protection locked="0"/>
    </xf>
    <xf numFmtId="1" fontId="24" fillId="0" borderId="0" xfId="2" applyNumberFormat="1" applyFont="1" applyAlignment="1" applyProtection="1">
      <alignment horizontal="left"/>
      <protection hidden="1"/>
    </xf>
    <xf numFmtId="171" fontId="25" fillId="0" borderId="0" xfId="2" applyNumberFormat="1" applyFont="1" applyAlignment="1" applyProtection="1">
      <alignment horizontal="left"/>
      <protection hidden="1"/>
    </xf>
    <xf numFmtId="49" fontId="26" fillId="0" borderId="0" xfId="2" applyNumberFormat="1" applyFont="1" applyProtection="1">
      <protection hidden="1"/>
    </xf>
    <xf numFmtId="1" fontId="27" fillId="0" borderId="0" xfId="2" applyNumberFormat="1" applyFont="1" applyAlignment="1" applyProtection="1">
      <alignment horizontal="right"/>
      <protection hidden="1"/>
    </xf>
    <xf numFmtId="171" fontId="28" fillId="0" borderId="0" xfId="2" applyNumberFormat="1" applyFont="1" applyAlignment="1" applyProtection="1">
      <alignment horizontal="left"/>
      <protection hidden="1"/>
    </xf>
    <xf numFmtId="1" fontId="28" fillId="0" borderId="0" xfId="2" applyNumberFormat="1" applyFont="1" applyAlignment="1" applyProtection="1">
      <alignment horizontal="left"/>
      <protection hidden="1"/>
    </xf>
    <xf numFmtId="1" fontId="22" fillId="0" borderId="0" xfId="2" applyNumberFormat="1" applyFont="1" applyAlignment="1" applyProtection="1">
      <alignment horizontal="left"/>
      <protection hidden="1"/>
    </xf>
    <xf numFmtId="164" fontId="29" fillId="0" borderId="0" xfId="2" applyFont="1" applyAlignment="1" applyProtection="1">
      <alignment horizontal="left"/>
      <protection hidden="1"/>
    </xf>
    <xf numFmtId="1" fontId="24" fillId="0" borderId="0" xfId="2" applyNumberFormat="1" applyFont="1" applyAlignment="1" applyProtection="1">
      <alignment horizontal="right"/>
      <protection hidden="1"/>
    </xf>
    <xf numFmtId="164" fontId="30" fillId="0" borderId="0" xfId="2" applyFont="1" applyAlignment="1" applyProtection="1">
      <alignment horizontal="right"/>
      <protection hidden="1"/>
    </xf>
    <xf numFmtId="164" fontId="20" fillId="0" borderId="0" xfId="2" applyFont="1" applyAlignment="1" applyProtection="1">
      <alignment horizontal="left"/>
      <protection hidden="1"/>
    </xf>
    <xf numFmtId="49" fontId="31" fillId="0" borderId="0" xfId="2" applyNumberFormat="1" applyFont="1" applyProtection="1">
      <protection hidden="1"/>
    </xf>
    <xf numFmtId="164" fontId="32" fillId="0" borderId="0" xfId="2" applyFont="1" applyProtection="1">
      <protection hidden="1"/>
    </xf>
    <xf numFmtId="14" fontId="22" fillId="0" borderId="0" xfId="2" applyNumberFormat="1" applyFont="1" applyAlignment="1" applyProtection="1">
      <alignment horizontal="left" shrinkToFit="1"/>
      <protection hidden="1"/>
    </xf>
    <xf numFmtId="172" fontId="20" fillId="0" borderId="0" xfId="2" applyNumberFormat="1" applyFont="1" applyAlignment="1" applyProtection="1">
      <alignment horizontal="right"/>
      <protection hidden="1"/>
    </xf>
    <xf numFmtId="170" fontId="20" fillId="0" borderId="0" xfId="2" applyNumberFormat="1" applyFont="1" applyProtection="1">
      <protection hidden="1"/>
    </xf>
    <xf numFmtId="171" fontId="22" fillId="0" borderId="0" xfId="2" applyNumberFormat="1" applyFont="1" applyAlignment="1" applyProtection="1">
      <alignment horizontal="left"/>
      <protection hidden="1"/>
    </xf>
    <xf numFmtId="10" fontId="33" fillId="3" borderId="3" xfId="3" applyNumberFormat="1" applyFont="1" applyFill="1" applyBorder="1" applyAlignment="1" applyProtection="1">
      <alignment horizontal="center"/>
      <protection locked="0"/>
    </xf>
    <xf numFmtId="164" fontId="11" fillId="0" borderId="0" xfId="2" applyFont="1" applyFill="1" applyBorder="1" applyAlignment="1" applyProtection="1">
      <alignment horizontal="center" vertical="center" wrapText="1"/>
      <protection hidden="1"/>
    </xf>
    <xf numFmtId="169" fontId="15" fillId="0" borderId="3" xfId="3" applyNumberFormat="1" applyFont="1" applyFill="1" applyBorder="1" applyAlignment="1" applyProtection="1">
      <alignment horizontal="center"/>
      <protection hidden="1"/>
    </xf>
    <xf numFmtId="164" fontId="11" fillId="0" borderId="0" xfId="2" applyFont="1" applyAlignment="1" applyProtection="1">
      <alignment vertical="center"/>
      <protection hidden="1"/>
    </xf>
    <xf numFmtId="10" fontId="33" fillId="0" borderId="0" xfId="3" applyNumberFormat="1" applyFont="1" applyFill="1" applyBorder="1" applyAlignment="1" applyProtection="1">
      <alignment horizontal="center"/>
      <protection hidden="1"/>
    </xf>
    <xf numFmtId="165" fontId="20" fillId="0" borderId="0" xfId="0" applyNumberFormat="1" applyFont="1" applyProtection="1">
      <protection hidden="1"/>
    </xf>
    <xf numFmtId="166" fontId="6" fillId="0" borderId="1" xfId="0" applyNumberFormat="1" applyFont="1" applyBorder="1" applyAlignment="1" applyProtection="1">
      <alignment horizontal="left" shrinkToFit="1"/>
      <protection hidden="1"/>
    </xf>
    <xf numFmtId="165" fontId="6" fillId="3" borderId="1" xfId="0" applyNumberFormat="1" applyFont="1" applyFill="1" applyBorder="1" applyAlignment="1" applyProtection="1">
      <alignment shrinkToFit="1"/>
      <protection locked="0"/>
    </xf>
    <xf numFmtId="165" fontId="11" fillId="0" borderId="1" xfId="0" applyNumberFormat="1" applyFont="1" applyBorder="1" applyAlignment="1" applyProtection="1">
      <alignment shrinkToFit="1"/>
      <protection hidden="1"/>
    </xf>
    <xf numFmtId="165" fontId="6" fillId="0" borderId="1" xfId="0" applyNumberFormat="1" applyFont="1" applyBorder="1" applyAlignment="1" applyProtection="1">
      <alignment shrinkToFit="1"/>
      <protection hidden="1"/>
    </xf>
    <xf numFmtId="14" fontId="20" fillId="2" borderId="0" xfId="0" applyNumberFormat="1" applyFont="1" applyFill="1" applyProtection="1">
      <protection hidden="1"/>
    </xf>
    <xf numFmtId="167" fontId="20" fillId="0" borderId="0" xfId="0" applyNumberFormat="1" applyFont="1" applyProtection="1">
      <protection hidden="1"/>
    </xf>
    <xf numFmtId="0" fontId="6" fillId="0" borderId="1" xfId="0" applyFont="1" applyBorder="1" applyAlignment="1" applyProtection="1">
      <alignment shrinkToFit="1"/>
      <protection hidden="1"/>
    </xf>
    <xf numFmtId="0" fontId="6" fillId="3" borderId="1" xfId="0" applyFont="1" applyFill="1" applyBorder="1" applyAlignment="1" applyProtection="1">
      <alignment shrinkToFit="1"/>
      <protection locked="0"/>
    </xf>
    <xf numFmtId="167" fontId="11" fillId="0" borderId="0" xfId="2" applyNumberFormat="1" applyFont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shrinkToFit="1"/>
      <protection hidden="1"/>
    </xf>
    <xf numFmtId="165" fontId="11" fillId="0" borderId="2" xfId="0" applyNumberFormat="1" applyFont="1" applyBorder="1" applyAlignment="1" applyProtection="1">
      <alignment shrinkToFit="1"/>
      <protection hidden="1"/>
    </xf>
    <xf numFmtId="4" fontId="11" fillId="0" borderId="0" xfId="0" applyNumberFormat="1" applyFont="1" applyProtection="1">
      <protection hidden="1"/>
    </xf>
    <xf numFmtId="167" fontId="11" fillId="0" borderId="0" xfId="0" applyNumberFormat="1" applyFont="1" applyProtection="1">
      <protection hidden="1"/>
    </xf>
    <xf numFmtId="0" fontId="17" fillId="0" borderId="0" xfId="0" applyFont="1" applyProtection="1">
      <protection hidden="1"/>
    </xf>
    <xf numFmtId="4" fontId="17" fillId="0" borderId="0" xfId="0" applyNumberFormat="1" applyFont="1" applyProtection="1">
      <protection hidden="1"/>
    </xf>
    <xf numFmtId="167" fontId="17" fillId="0" borderId="0" xfId="0" applyNumberFormat="1" applyFont="1" applyProtection="1">
      <protection hidden="1"/>
    </xf>
    <xf numFmtId="14" fontId="18" fillId="0" borderId="0" xfId="0" applyNumberFormat="1" applyFont="1" applyAlignment="1" applyProtection="1">
      <alignment horizontal="right"/>
      <protection hidden="1"/>
    </xf>
    <xf numFmtId="14" fontId="18" fillId="0" borderId="0" xfId="0" applyNumberFormat="1" applyFont="1" applyProtection="1">
      <protection hidden="1"/>
    </xf>
    <xf numFmtId="2" fontId="8" fillId="0" borderId="0" xfId="2" applyNumberFormat="1" applyFont="1" applyAlignment="1" applyProtection="1">
      <alignment horizontal="right"/>
      <protection hidden="1"/>
    </xf>
    <xf numFmtId="166" fontId="34" fillId="0" borderId="1" xfId="0" applyNumberFormat="1" applyFont="1" applyBorder="1" applyAlignment="1" applyProtection="1">
      <alignment horizontal="left" shrinkToFit="1"/>
      <protection hidden="1"/>
    </xf>
    <xf numFmtId="0" fontId="6" fillId="0" borderId="0" xfId="0" applyFont="1"/>
    <xf numFmtId="164" fontId="29" fillId="3" borderId="0" xfId="2" applyFont="1" applyFill="1" applyAlignment="1" applyProtection="1">
      <alignment horizontal="center"/>
      <protection locked="0"/>
    </xf>
    <xf numFmtId="49" fontId="35" fillId="0" borderId="0" xfId="2" applyNumberFormat="1" applyFont="1" applyProtection="1">
      <protection hidden="1"/>
    </xf>
    <xf numFmtId="1" fontId="36" fillId="0" borderId="0" xfId="2" applyNumberFormat="1" applyFont="1" applyAlignment="1" applyProtection="1">
      <alignment horizontal="right"/>
      <protection hidden="1"/>
    </xf>
    <xf numFmtId="0" fontId="11" fillId="3" borderId="3" xfId="3" applyNumberFormat="1" applyFont="1" applyFill="1" applyBorder="1" applyAlignment="1" applyProtection="1">
      <alignment horizontal="center"/>
      <protection locked="0"/>
    </xf>
    <xf numFmtId="49" fontId="26" fillId="0" borderId="0" xfId="2" applyNumberFormat="1" applyFont="1" applyAlignment="1" applyProtection="1">
      <alignment horizontal="left"/>
      <protection hidden="1"/>
    </xf>
    <xf numFmtId="165" fontId="37" fillId="0" borderId="0" xfId="2" applyNumberFormat="1" applyFont="1" applyAlignment="1" applyProtection="1">
      <alignment shrinkToFit="1"/>
      <protection hidden="1"/>
    </xf>
    <xf numFmtId="164" fontId="37" fillId="0" borderId="0" xfId="2" applyFont="1" applyProtection="1">
      <protection hidden="1"/>
    </xf>
    <xf numFmtId="0" fontId="11" fillId="3" borderId="4" xfId="0" applyFont="1" applyFill="1" applyBorder="1" applyAlignment="1" applyProtection="1">
      <alignment horizontal="center"/>
      <protection locked="0"/>
    </xf>
    <xf numFmtId="0" fontId="11" fillId="3" borderId="5" xfId="0" applyFont="1" applyFill="1" applyBorder="1" applyAlignment="1" applyProtection="1">
      <alignment horizontal="center"/>
      <protection locked="0"/>
    </xf>
    <xf numFmtId="165" fontId="37" fillId="0" borderId="6" xfId="2" applyNumberFormat="1" applyFont="1" applyBorder="1" applyAlignment="1" applyProtection="1">
      <alignment horizontal="right" shrinkToFit="1"/>
      <protection hidden="1"/>
    </xf>
    <xf numFmtId="164" fontId="11" fillId="0" borderId="7" xfId="2" applyFont="1" applyFill="1" applyBorder="1" applyAlignment="1" applyProtection="1">
      <alignment horizontal="center" vertical="center"/>
      <protection hidden="1"/>
    </xf>
    <xf numFmtId="164" fontId="11" fillId="0" borderId="8" xfId="2" applyFont="1" applyFill="1" applyBorder="1" applyAlignment="1" applyProtection="1">
      <alignment horizontal="center" vertical="center"/>
      <protection hidden="1"/>
    </xf>
    <xf numFmtId="164" fontId="11" fillId="0" borderId="9" xfId="2" applyFont="1" applyFill="1" applyBorder="1" applyAlignment="1" applyProtection="1">
      <alignment horizontal="center" vertical="center"/>
      <protection hidden="1"/>
    </xf>
    <xf numFmtId="164" fontId="11" fillId="3" borderId="7" xfId="2" applyFont="1" applyFill="1" applyBorder="1" applyAlignment="1" applyProtection="1">
      <alignment horizontal="center" vertical="center" wrapText="1"/>
      <protection locked="0"/>
    </xf>
    <xf numFmtId="164" fontId="11" fillId="3" borderId="9" xfId="2" applyFont="1" applyFill="1" applyBorder="1" applyAlignment="1" applyProtection="1">
      <alignment horizontal="center" vertical="center" wrapText="1"/>
      <protection locked="0"/>
    </xf>
    <xf numFmtId="164" fontId="11" fillId="0" borderId="7" xfId="2" applyFont="1" applyFill="1" applyBorder="1" applyAlignment="1" applyProtection="1">
      <alignment horizontal="center" vertical="center" wrapText="1"/>
      <protection hidden="1"/>
    </xf>
    <xf numFmtId="164" fontId="11" fillId="0" borderId="8" xfId="2" applyFont="1" applyFill="1" applyBorder="1" applyAlignment="1" applyProtection="1">
      <alignment horizontal="center" vertical="center" wrapText="1"/>
      <protection hidden="1"/>
    </xf>
    <xf numFmtId="164" fontId="11" fillId="0" borderId="9" xfId="2" applyFont="1" applyFill="1" applyBorder="1" applyAlignment="1" applyProtection="1">
      <alignment horizontal="center" vertical="center" wrapText="1"/>
      <protection hidden="1"/>
    </xf>
    <xf numFmtId="164" fontId="11" fillId="0" borderId="7" xfId="2" applyFont="1" applyFill="1" applyBorder="1" applyAlignment="1" applyProtection="1">
      <alignment horizontal="left" vertical="center" wrapText="1"/>
      <protection hidden="1"/>
    </xf>
    <xf numFmtId="164" fontId="11" fillId="0" borderId="8" xfId="2" applyFont="1" applyFill="1" applyBorder="1" applyAlignment="1" applyProtection="1">
      <alignment horizontal="left" vertical="center" wrapText="1"/>
      <protection hidden="1"/>
    </xf>
    <xf numFmtId="164" fontId="11" fillId="0" borderId="9" xfId="2" applyFont="1" applyFill="1" applyBorder="1" applyAlignment="1" applyProtection="1">
      <alignment horizontal="left" vertical="center" wrapText="1"/>
      <protection hidden="1"/>
    </xf>
    <xf numFmtId="1" fontId="7" fillId="3" borderId="0" xfId="2" applyNumberFormat="1" applyFont="1" applyFill="1" applyAlignment="1" applyProtection="1">
      <alignment horizontal="center" shrinkToFit="1"/>
      <protection locked="0"/>
    </xf>
    <xf numFmtId="165" fontId="19" fillId="0" borderId="0" xfId="2" applyNumberFormat="1" applyFont="1" applyAlignment="1" applyProtection="1">
      <alignment horizontal="right" shrinkToFit="1"/>
      <protection hidden="1"/>
    </xf>
    <xf numFmtId="165" fontId="19" fillId="0" borderId="0" xfId="2" applyNumberFormat="1" applyFont="1" applyBorder="1" applyAlignment="1" applyProtection="1">
      <alignment horizontal="right" shrinkToFit="1"/>
      <protection hidden="1"/>
    </xf>
    <xf numFmtId="0" fontId="6" fillId="3" borderId="4" xfId="0" applyFont="1" applyFill="1" applyBorder="1" applyAlignment="1" applyProtection="1">
      <alignment horizontal="left"/>
      <protection locked="0"/>
    </xf>
    <xf numFmtId="0" fontId="6" fillId="3" borderId="5" xfId="0" applyFont="1" applyFill="1" applyBorder="1" applyAlignment="1" applyProtection="1">
      <alignment horizontal="left"/>
      <protection locked="0"/>
    </xf>
    <xf numFmtId="164" fontId="11" fillId="0" borderId="10" xfId="2" applyFont="1" applyBorder="1" applyAlignment="1" applyProtection="1">
      <alignment horizontal="center" vertical="center"/>
      <protection hidden="1"/>
    </xf>
    <xf numFmtId="164" fontId="11" fillId="0" borderId="0" xfId="2" applyFont="1" applyAlignment="1" applyProtection="1">
      <alignment horizontal="center" vertical="center"/>
      <protection hidden="1"/>
    </xf>
    <xf numFmtId="164" fontId="15" fillId="0" borderId="7" xfId="2" applyFont="1" applyFill="1" applyBorder="1" applyAlignment="1" applyProtection="1">
      <alignment horizontal="center" vertical="center" wrapText="1"/>
      <protection hidden="1"/>
    </xf>
    <xf numFmtId="164" fontId="15" fillId="0" borderId="8" xfId="2" applyFont="1" applyFill="1" applyBorder="1" applyAlignment="1" applyProtection="1">
      <alignment horizontal="center" vertical="center" wrapText="1"/>
      <protection hidden="1"/>
    </xf>
    <xf numFmtId="164" fontId="15" fillId="0" borderId="9" xfId="2" applyFont="1" applyFill="1" applyBorder="1" applyAlignment="1" applyProtection="1">
      <alignment horizontal="center" vertical="center" wrapText="1"/>
      <protection hidden="1"/>
    </xf>
    <xf numFmtId="164" fontId="15" fillId="3" borderId="7" xfId="2" applyFont="1" applyFill="1" applyBorder="1" applyAlignment="1" applyProtection="1">
      <alignment horizontal="center" vertical="center" wrapText="1"/>
      <protection locked="0"/>
    </xf>
    <xf numFmtId="164" fontId="15" fillId="3" borderId="8" xfId="2" applyFont="1" applyFill="1" applyBorder="1" applyAlignment="1" applyProtection="1">
      <alignment horizontal="center" vertical="center" wrapText="1"/>
      <protection locked="0"/>
    </xf>
    <xf numFmtId="49" fontId="29" fillId="3" borderId="0" xfId="2" applyNumberFormat="1" applyFont="1" applyFill="1" applyAlignment="1" applyProtection="1">
      <alignment horizontal="center" shrinkToFit="1"/>
      <protection locked="0"/>
    </xf>
    <xf numFmtId="1" fontId="22" fillId="0" borderId="0" xfId="2" applyNumberFormat="1" applyFont="1" applyAlignment="1" applyProtection="1">
      <alignment horizontal="left"/>
      <protection hidden="1"/>
    </xf>
    <xf numFmtId="14" fontId="29" fillId="3" borderId="0" xfId="2" applyNumberFormat="1" applyFont="1" applyFill="1" applyAlignment="1" applyProtection="1">
      <alignment horizontal="center"/>
      <protection locked="0"/>
    </xf>
    <xf numFmtId="14" fontId="29" fillId="3" borderId="0" xfId="2" applyNumberFormat="1" applyFont="1" applyFill="1" applyAlignment="1" applyProtection="1">
      <alignment horizontal="left"/>
      <protection locked="0"/>
    </xf>
    <xf numFmtId="49" fontId="29" fillId="3" borderId="0" xfId="2" applyNumberFormat="1" applyFont="1" applyFill="1" applyAlignment="1" applyProtection="1">
      <alignment horizontal="left" shrinkToFit="1"/>
      <protection locked="0"/>
    </xf>
    <xf numFmtId="49" fontId="20" fillId="3" borderId="0" xfId="2" applyNumberFormat="1" applyFont="1" applyFill="1" applyAlignment="1" applyProtection="1">
      <alignment horizontal="left" shrinkToFit="1"/>
      <protection locked="0"/>
    </xf>
    <xf numFmtId="164" fontId="15" fillId="0" borderId="7" xfId="2" applyFont="1" applyFill="1" applyBorder="1" applyAlignment="1" applyProtection="1">
      <alignment horizontal="center" vertical="center"/>
      <protection hidden="1"/>
    </xf>
    <xf numFmtId="164" fontId="15" fillId="0" borderId="8" xfId="2" applyFont="1" applyFill="1" applyBorder="1" applyAlignment="1" applyProtection="1">
      <alignment horizontal="center" vertical="center"/>
      <protection hidden="1"/>
    </xf>
    <xf numFmtId="164" fontId="18" fillId="0" borderId="0" xfId="2" applyFont="1" applyFill="1" applyBorder="1" applyAlignment="1" applyProtection="1">
      <alignment horizontal="right" vertical="center" wrapText="1"/>
      <protection hidden="1"/>
    </xf>
    <xf numFmtId="164" fontId="18" fillId="0" borderId="11" xfId="2" applyFont="1" applyFill="1" applyBorder="1" applyAlignment="1" applyProtection="1">
      <alignment horizontal="right" vertical="center" wrapText="1"/>
      <protection hidden="1"/>
    </xf>
    <xf numFmtId="14" fontId="11" fillId="3" borderId="0" xfId="2" applyNumberFormat="1" applyFont="1" applyFill="1" applyAlignment="1" applyProtection="1">
      <alignment horizontal="center"/>
      <protection locked="0"/>
    </xf>
    <xf numFmtId="49" fontId="6" fillId="3" borderId="0" xfId="2" applyNumberFormat="1" applyFont="1" applyFill="1" applyAlignment="1" applyProtection="1">
      <alignment horizontal="left" shrinkToFit="1"/>
      <protection locked="0"/>
    </xf>
    <xf numFmtId="49" fontId="11" fillId="3" borderId="0" xfId="2" applyNumberFormat="1" applyFont="1" applyFill="1" applyAlignment="1" applyProtection="1">
      <alignment horizontal="left" shrinkToFit="1"/>
      <protection locked="0"/>
    </xf>
    <xf numFmtId="49" fontId="11" fillId="3" borderId="0" xfId="2" applyNumberFormat="1" applyFont="1" applyFill="1" applyAlignment="1" applyProtection="1">
      <alignment horizontal="center" shrinkToFit="1"/>
      <protection locked="0"/>
    </xf>
    <xf numFmtId="14" fontId="11" fillId="3" borderId="0" xfId="2" applyNumberFormat="1" applyFont="1" applyFill="1" applyAlignment="1" applyProtection="1">
      <alignment horizontal="left"/>
      <protection locked="0"/>
    </xf>
    <xf numFmtId="1" fontId="28" fillId="0" borderId="0" xfId="2" applyNumberFormat="1" applyFont="1" applyAlignment="1" applyProtection="1">
      <alignment horizontal="left"/>
      <protection hidden="1"/>
    </xf>
    <xf numFmtId="164" fontId="11" fillId="3" borderId="8" xfId="2" applyFont="1" applyFill="1" applyBorder="1" applyAlignment="1" applyProtection="1">
      <alignment horizontal="center" vertical="center" wrapText="1"/>
      <protection locked="0"/>
    </xf>
    <xf numFmtId="165" fontId="37" fillId="0" borderId="6" xfId="2" applyNumberFormat="1" applyFont="1" applyBorder="1" applyAlignment="1" applyProtection="1">
      <alignment horizontal="left" shrinkToFit="1"/>
      <protection hidden="1"/>
    </xf>
  </cellXfs>
  <cellStyles count="4">
    <cellStyle name="Komma" xfId="2" builtinId="3"/>
    <cellStyle name="Link" xfId="1" builtinId="8"/>
    <cellStyle name="Prozent" xfId="3" builtinId="5"/>
    <cellStyle name="Standard" xfId="0" builtinId="0"/>
  </cellStyles>
  <dxfs count="1"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1D71B8"/>
      <color rgb="FFB9E4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37</xdr:row>
      <xdr:rowOff>0</xdr:rowOff>
    </xdr:from>
    <xdr:to>
      <xdr:col>1</xdr:col>
      <xdr:colOff>219075</xdr:colOff>
      <xdr:row>37</xdr:row>
      <xdr:rowOff>0</xdr:rowOff>
    </xdr:to>
    <xdr:pic>
      <xdr:nvPicPr>
        <xdr:cNvPr id="2099" name="Picture 2" descr="logo_strasser-ag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4293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R68"/>
  <sheetViews>
    <sheetView showGridLines="0" showZeros="0" tabSelected="1" topLeftCell="B1" zoomScaleNormal="100" workbookViewId="0">
      <selection activeCell="H37" sqref="H37:H38"/>
    </sheetView>
  </sheetViews>
  <sheetFormatPr baseColWidth="10" defaultColWidth="11.28515625" defaultRowHeight="14.25" x14ac:dyDescent="0.25"/>
  <cols>
    <col min="1" max="1" width="6.28515625" style="1" customWidth="1"/>
    <col min="2" max="2" width="17.85546875" style="1" customWidth="1"/>
    <col min="3" max="17" width="12.140625" style="1" customWidth="1"/>
    <col min="18" max="18" width="11.28515625" style="1" customWidth="1"/>
    <col min="19" max="19" width="1.28515625" style="1" customWidth="1"/>
    <col min="20" max="16384" width="11.28515625" style="1"/>
  </cols>
  <sheetData>
    <row r="1" spans="2:6" ht="13.5" customHeight="1" x14ac:dyDescent="0.25"/>
    <row r="2" spans="2:6" ht="15" customHeight="1" x14ac:dyDescent="0.3">
      <c r="B2" s="110"/>
      <c r="C2" s="110"/>
    </row>
    <row r="3" spans="2:6" ht="17.25" x14ac:dyDescent="0.3">
      <c r="B3" s="110"/>
      <c r="C3" s="110"/>
    </row>
    <row r="4" spans="2:6" ht="17.25" x14ac:dyDescent="0.3">
      <c r="B4" s="2"/>
      <c r="C4" s="2"/>
    </row>
    <row r="8" spans="2:6" s="4" customFormat="1" ht="20.25" x14ac:dyDescent="0.35">
      <c r="B8" s="3" t="s">
        <v>1</v>
      </c>
      <c r="E8" s="5"/>
      <c r="F8" s="6">
        <v>2025</v>
      </c>
    </row>
    <row r="9" spans="2:6" x14ac:dyDescent="0.25">
      <c r="B9" s="7"/>
      <c r="C9" s="7"/>
      <c r="D9" s="7"/>
      <c r="E9" s="7"/>
      <c r="F9" s="7"/>
    </row>
    <row r="12" spans="2:6" x14ac:dyDescent="0.25">
      <c r="B12" s="8" t="s">
        <v>22</v>
      </c>
    </row>
    <row r="13" spans="2:6" x14ac:dyDescent="0.25">
      <c r="B13" s="1" t="s">
        <v>38</v>
      </c>
      <c r="C13" s="9">
        <f>10.6%/2</f>
        <v>5.2999999999999999E-2</v>
      </c>
      <c r="D13" s="10"/>
      <c r="E13" s="93" t="s">
        <v>40</v>
      </c>
    </row>
    <row r="14" spans="2:6" x14ac:dyDescent="0.25">
      <c r="B14" s="1" t="s">
        <v>37</v>
      </c>
      <c r="C14" s="9">
        <v>1.0999999999999999E-2</v>
      </c>
      <c r="D14" s="11" t="s">
        <v>39</v>
      </c>
      <c r="E14" s="12">
        <v>148200</v>
      </c>
      <c r="F14" s="13">
        <v>99999999</v>
      </c>
    </row>
    <row r="15" spans="2:6" x14ac:dyDescent="0.25">
      <c r="B15" s="1" t="s">
        <v>15</v>
      </c>
      <c r="C15" s="14">
        <v>1.4E-2</v>
      </c>
      <c r="D15" s="11" t="s">
        <v>39</v>
      </c>
      <c r="E15" s="12">
        <v>148200</v>
      </c>
    </row>
    <row r="16" spans="2:6" x14ac:dyDescent="0.25">
      <c r="B16" s="1" t="s">
        <v>23</v>
      </c>
      <c r="C16" s="14">
        <v>0.01</v>
      </c>
      <c r="D16" s="10"/>
    </row>
    <row r="17" spans="1:17" x14ac:dyDescent="0.25">
      <c r="B17" s="1" t="s">
        <v>24</v>
      </c>
      <c r="C17" s="14">
        <v>8.0000000000000002E-3</v>
      </c>
    </row>
    <row r="18" spans="1:17" x14ac:dyDescent="0.25">
      <c r="C18" s="15" t="s">
        <v>52</v>
      </c>
    </row>
    <row r="21" spans="1:17" s="16" customFormat="1" ht="12.75" customHeight="1" x14ac:dyDescent="0.25">
      <c r="B21" s="107" t="s">
        <v>2</v>
      </c>
      <c r="C21" s="104" t="s">
        <v>10</v>
      </c>
      <c r="D21" s="104" t="s">
        <v>11</v>
      </c>
      <c r="E21" s="104" t="s">
        <v>12</v>
      </c>
      <c r="F21" s="104" t="s">
        <v>13</v>
      </c>
      <c r="G21" s="104" t="s">
        <v>34</v>
      </c>
      <c r="H21" s="99" t="s">
        <v>38</v>
      </c>
      <c r="I21" s="99" t="s">
        <v>37</v>
      </c>
      <c r="J21" s="104" t="s">
        <v>14</v>
      </c>
      <c r="K21" s="99" t="s">
        <v>15</v>
      </c>
      <c r="L21" s="99" t="s">
        <v>16</v>
      </c>
      <c r="M21" s="102"/>
      <c r="N21" s="102"/>
      <c r="O21" s="104" t="s">
        <v>17</v>
      </c>
      <c r="P21" s="104" t="s">
        <v>18</v>
      </c>
      <c r="Q21" s="104" t="s">
        <v>19</v>
      </c>
    </row>
    <row r="22" spans="1:17" s="16" customFormat="1" x14ac:dyDescent="0.25">
      <c r="B22" s="108"/>
      <c r="C22" s="105"/>
      <c r="D22" s="105"/>
      <c r="E22" s="105"/>
      <c r="F22" s="105"/>
      <c r="G22" s="105"/>
      <c r="H22" s="100"/>
      <c r="I22" s="100"/>
      <c r="J22" s="105"/>
      <c r="K22" s="100"/>
      <c r="L22" s="100"/>
      <c r="M22" s="103"/>
      <c r="N22" s="103"/>
      <c r="O22" s="105"/>
      <c r="P22" s="105"/>
      <c r="Q22" s="105"/>
    </row>
    <row r="23" spans="1:17" s="16" customFormat="1" x14ac:dyDescent="0.25">
      <c r="B23" s="109"/>
      <c r="C23" s="106"/>
      <c r="D23" s="106"/>
      <c r="E23" s="106"/>
      <c r="F23" s="106"/>
      <c r="G23" s="106"/>
      <c r="H23" s="101"/>
      <c r="I23" s="101"/>
      <c r="J23" s="106"/>
      <c r="K23" s="101"/>
      <c r="L23" s="101"/>
      <c r="M23" s="92"/>
      <c r="N23" s="92"/>
      <c r="O23" s="106"/>
      <c r="P23" s="106"/>
      <c r="Q23" s="106"/>
    </row>
    <row r="24" spans="1:17" x14ac:dyDescent="0.25">
      <c r="A24" s="18" t="s">
        <v>25</v>
      </c>
      <c r="B24" s="19">
        <f>'Ang1'!$C$4</f>
        <v>0</v>
      </c>
      <c r="C24" s="20">
        <f>'Ang1'!B$35</f>
        <v>0</v>
      </c>
      <c r="D24" s="19">
        <f>'Ang1'!C$35</f>
        <v>0</v>
      </c>
      <c r="E24" s="19">
        <f>'Ang1'!D$35</f>
        <v>0</v>
      </c>
      <c r="F24" s="19">
        <f>'Ang1'!E$35</f>
        <v>0</v>
      </c>
      <c r="G24" s="20">
        <f>'Ang1'!F$35</f>
        <v>0</v>
      </c>
      <c r="H24" s="19">
        <f>'Ang1'!G$35</f>
        <v>0</v>
      </c>
      <c r="I24" s="19">
        <f>'Ang1'!H$35</f>
        <v>0</v>
      </c>
      <c r="J24" s="19">
        <f>'Ang1'!I$35</f>
        <v>0</v>
      </c>
      <c r="K24" s="19">
        <f>'Ang1'!J$35</f>
        <v>0</v>
      </c>
      <c r="L24" s="19">
        <f>'Ang1'!K$35</f>
        <v>0</v>
      </c>
      <c r="M24" s="19">
        <f>'Ang1'!L$35</f>
        <v>0</v>
      </c>
      <c r="N24" s="19">
        <f>'Ang1'!M$35</f>
        <v>0</v>
      </c>
      <c r="O24" s="20">
        <f>'Ang1'!N$35</f>
        <v>0</v>
      </c>
      <c r="P24" s="19">
        <f>'Ang1'!O$35</f>
        <v>0</v>
      </c>
      <c r="Q24" s="20">
        <f>'Ang1'!P$35</f>
        <v>0</v>
      </c>
    </row>
    <row r="25" spans="1:17" x14ac:dyDescent="0.25">
      <c r="A25" s="18" t="s">
        <v>26</v>
      </c>
      <c r="B25" s="19">
        <f>'Ang2'!$C$4</f>
        <v>0</v>
      </c>
      <c r="C25" s="20">
        <f>'Ang2'!B$35</f>
        <v>0</v>
      </c>
      <c r="D25" s="19">
        <f>'Ang2'!C$35</f>
        <v>0</v>
      </c>
      <c r="E25" s="19">
        <f>'Ang2'!D$35</f>
        <v>0</v>
      </c>
      <c r="F25" s="19">
        <f>'Ang2'!E$35</f>
        <v>0</v>
      </c>
      <c r="G25" s="20">
        <f>'Ang2'!F$35</f>
        <v>0</v>
      </c>
      <c r="H25" s="19">
        <f>'Ang2'!G$35</f>
        <v>0</v>
      </c>
      <c r="I25" s="19">
        <f>'Ang2'!H$35</f>
        <v>0</v>
      </c>
      <c r="J25" s="19">
        <f>'Ang2'!I$35</f>
        <v>0</v>
      </c>
      <c r="K25" s="19">
        <f>'Ang2'!J$35</f>
        <v>0</v>
      </c>
      <c r="L25" s="19">
        <f>'Ang2'!K$35</f>
        <v>0</v>
      </c>
      <c r="M25" s="19">
        <f>'Ang2'!L$35</f>
        <v>0</v>
      </c>
      <c r="N25" s="19">
        <f>'Ang2'!M$35</f>
        <v>0</v>
      </c>
      <c r="O25" s="20">
        <f>'Ang2'!N$35</f>
        <v>0</v>
      </c>
      <c r="P25" s="19">
        <f>'Ang2'!O$35</f>
        <v>0</v>
      </c>
      <c r="Q25" s="20">
        <f>'Ang2'!P$35</f>
        <v>0</v>
      </c>
    </row>
    <row r="26" spans="1:17" x14ac:dyDescent="0.25">
      <c r="A26" s="18" t="s">
        <v>27</v>
      </c>
      <c r="B26" s="19">
        <f>'Ang3'!$C$4</f>
        <v>0</v>
      </c>
      <c r="C26" s="20">
        <f>'Ang3'!B$35</f>
        <v>0</v>
      </c>
      <c r="D26" s="19">
        <f>'Ang3'!C$35</f>
        <v>0</v>
      </c>
      <c r="E26" s="19">
        <f>'Ang3'!D$35</f>
        <v>0</v>
      </c>
      <c r="F26" s="19">
        <f>'Ang3'!E$35</f>
        <v>0</v>
      </c>
      <c r="G26" s="20">
        <f>'Ang3'!F$35</f>
        <v>0</v>
      </c>
      <c r="H26" s="19">
        <f>'Ang3'!G$35</f>
        <v>0</v>
      </c>
      <c r="I26" s="19">
        <f>'Ang3'!H$35</f>
        <v>0</v>
      </c>
      <c r="J26" s="19">
        <f>'Ang3'!I$35</f>
        <v>0</v>
      </c>
      <c r="K26" s="19">
        <f>'Ang3'!J$35</f>
        <v>0</v>
      </c>
      <c r="L26" s="19">
        <f>'Ang3'!K$35</f>
        <v>0</v>
      </c>
      <c r="M26" s="19">
        <f>'Ang3'!L$35</f>
        <v>0</v>
      </c>
      <c r="N26" s="19">
        <f>'Ang3'!M$35</f>
        <v>0</v>
      </c>
      <c r="O26" s="20">
        <f>'Ang3'!N$35</f>
        <v>0</v>
      </c>
      <c r="P26" s="19">
        <f>'Ang3'!O$35</f>
        <v>0</v>
      </c>
      <c r="Q26" s="20">
        <f>'Ang3'!P$35</f>
        <v>0</v>
      </c>
    </row>
    <row r="27" spans="1:17" x14ac:dyDescent="0.25">
      <c r="A27" s="18" t="s">
        <v>28</v>
      </c>
      <c r="B27" s="19">
        <f>'Ang4'!$C$4</f>
        <v>0</v>
      </c>
      <c r="C27" s="20">
        <f>'Ang4'!B$35</f>
        <v>0</v>
      </c>
      <c r="D27" s="19">
        <f>'Ang4'!C$35</f>
        <v>0</v>
      </c>
      <c r="E27" s="19">
        <f>'Ang4'!D$35</f>
        <v>0</v>
      </c>
      <c r="F27" s="19">
        <f>'Ang4'!E$35</f>
        <v>0</v>
      </c>
      <c r="G27" s="20">
        <f>'Ang4'!F$35</f>
        <v>0</v>
      </c>
      <c r="H27" s="19">
        <f>'Ang4'!G$35</f>
        <v>0</v>
      </c>
      <c r="I27" s="19">
        <f>'Ang4'!H$35</f>
        <v>0</v>
      </c>
      <c r="J27" s="19">
        <f>'Ang4'!I$35</f>
        <v>0</v>
      </c>
      <c r="K27" s="19">
        <f>'Ang4'!J$35</f>
        <v>0</v>
      </c>
      <c r="L27" s="19">
        <f>'Ang4'!K$35</f>
        <v>0</v>
      </c>
      <c r="M27" s="19">
        <f>'Ang4'!L$35</f>
        <v>0</v>
      </c>
      <c r="N27" s="19">
        <f>'Ang4'!M$35</f>
        <v>0</v>
      </c>
      <c r="O27" s="20">
        <f>'Ang4'!N$35</f>
        <v>0</v>
      </c>
      <c r="P27" s="19">
        <f>'Ang4'!O$35</f>
        <v>0</v>
      </c>
      <c r="Q27" s="20">
        <f>'Ang4'!P$35</f>
        <v>0</v>
      </c>
    </row>
    <row r="28" spans="1:17" x14ac:dyDescent="0.25">
      <c r="A28" s="18" t="s">
        <v>29</v>
      </c>
      <c r="B28" s="19">
        <f>'Ang5'!$C$4</f>
        <v>0</v>
      </c>
      <c r="C28" s="20">
        <f>'Ang5'!B$35</f>
        <v>0</v>
      </c>
      <c r="D28" s="19">
        <f>'Ang5'!C$35</f>
        <v>0</v>
      </c>
      <c r="E28" s="19">
        <f>'Ang5'!D$35</f>
        <v>0</v>
      </c>
      <c r="F28" s="19">
        <f>'Ang5'!E$35</f>
        <v>0</v>
      </c>
      <c r="G28" s="20">
        <f>'Ang5'!F$35</f>
        <v>0</v>
      </c>
      <c r="H28" s="19">
        <f>'Ang5'!G$35</f>
        <v>0</v>
      </c>
      <c r="I28" s="19">
        <f>'Ang5'!H$35</f>
        <v>0</v>
      </c>
      <c r="J28" s="19">
        <f>'Ang5'!I$35</f>
        <v>0</v>
      </c>
      <c r="K28" s="19">
        <f>'Ang5'!J$35</f>
        <v>0</v>
      </c>
      <c r="L28" s="19">
        <f>'Ang5'!K$35</f>
        <v>0</v>
      </c>
      <c r="M28" s="19">
        <f>'Ang5'!L$35</f>
        <v>0</v>
      </c>
      <c r="N28" s="19">
        <f>'Ang5'!M$35</f>
        <v>0</v>
      </c>
      <c r="O28" s="20">
        <f>'Ang5'!N$35</f>
        <v>0</v>
      </c>
      <c r="P28" s="19">
        <f>'Ang5'!O$35</f>
        <v>0</v>
      </c>
      <c r="Q28" s="20">
        <f>'Ang5'!P$35</f>
        <v>0</v>
      </c>
    </row>
    <row r="29" spans="1:17" x14ac:dyDescent="0.25">
      <c r="A29" s="18" t="s">
        <v>30</v>
      </c>
      <c r="B29" s="19">
        <f>'Ang6'!$C$4</f>
        <v>0</v>
      </c>
      <c r="C29" s="20">
        <f>'Ang6'!B$35</f>
        <v>0</v>
      </c>
      <c r="D29" s="19">
        <f>'Ang6'!C$35</f>
        <v>0</v>
      </c>
      <c r="E29" s="19">
        <f>'Ang6'!D$35</f>
        <v>0</v>
      </c>
      <c r="F29" s="19">
        <f>'Ang6'!E$35</f>
        <v>0</v>
      </c>
      <c r="G29" s="20">
        <f>'Ang6'!F$35</f>
        <v>0</v>
      </c>
      <c r="H29" s="19">
        <f>'Ang6'!G$35</f>
        <v>0</v>
      </c>
      <c r="I29" s="19">
        <f>'Ang6'!H$35</f>
        <v>0</v>
      </c>
      <c r="J29" s="19">
        <f>'Ang6'!I$35</f>
        <v>0</v>
      </c>
      <c r="K29" s="19">
        <f>'Ang6'!J$35</f>
        <v>0</v>
      </c>
      <c r="L29" s="19">
        <f>'Ang6'!K$35</f>
        <v>0</v>
      </c>
      <c r="M29" s="19">
        <f>'Ang6'!L$35</f>
        <v>0</v>
      </c>
      <c r="N29" s="19">
        <f>'Ang6'!M$35</f>
        <v>0</v>
      </c>
      <c r="O29" s="20">
        <f>'Ang6'!N$35</f>
        <v>0</v>
      </c>
      <c r="P29" s="19">
        <f>'Ang6'!O$35</f>
        <v>0</v>
      </c>
      <c r="Q29" s="20">
        <f>'Ang6'!P$35</f>
        <v>0</v>
      </c>
    </row>
    <row r="30" spans="1:17" x14ac:dyDescent="0.25">
      <c r="A30" s="18" t="s">
        <v>31</v>
      </c>
      <c r="B30" s="19">
        <f>'Ang7'!$C$4</f>
        <v>0</v>
      </c>
      <c r="C30" s="20">
        <f>'Ang7'!B$35</f>
        <v>0</v>
      </c>
      <c r="D30" s="19">
        <f>'Ang7'!C$35</f>
        <v>0</v>
      </c>
      <c r="E30" s="19">
        <f>'Ang7'!D$35</f>
        <v>0</v>
      </c>
      <c r="F30" s="19">
        <f>'Ang7'!E$35</f>
        <v>0</v>
      </c>
      <c r="G30" s="20">
        <f>'Ang7'!F$35</f>
        <v>0</v>
      </c>
      <c r="H30" s="19">
        <f>'Ang7'!G$35</f>
        <v>0</v>
      </c>
      <c r="I30" s="19">
        <f>'Ang7'!H$35</f>
        <v>0</v>
      </c>
      <c r="J30" s="19">
        <f>'Ang7'!I$35</f>
        <v>0</v>
      </c>
      <c r="K30" s="19">
        <f>'Ang7'!J$35</f>
        <v>0</v>
      </c>
      <c r="L30" s="19">
        <f>'Ang7'!K$35</f>
        <v>0</v>
      </c>
      <c r="M30" s="19">
        <f>'Ang7'!L$35</f>
        <v>0</v>
      </c>
      <c r="N30" s="19">
        <f>'Ang7'!M$35</f>
        <v>0</v>
      </c>
      <c r="O30" s="20">
        <f>'Ang7'!N$35</f>
        <v>0</v>
      </c>
      <c r="P30" s="19">
        <f>'Ang7'!O$35</f>
        <v>0</v>
      </c>
      <c r="Q30" s="20">
        <f>'Ang7'!P$35</f>
        <v>0</v>
      </c>
    </row>
    <row r="31" spans="1:17" x14ac:dyDescent="0.25">
      <c r="A31" s="18" t="s">
        <v>56</v>
      </c>
      <c r="B31" s="19">
        <f>'Ang8'!$C$4</f>
        <v>0</v>
      </c>
      <c r="C31" s="20">
        <f>'Ang8'!B$35</f>
        <v>0</v>
      </c>
      <c r="D31" s="19">
        <f>'Ang8'!C$35</f>
        <v>0</v>
      </c>
      <c r="E31" s="19">
        <f>'Ang8'!D$35</f>
        <v>0</v>
      </c>
      <c r="F31" s="19">
        <f>'Ang8'!E$35</f>
        <v>0</v>
      </c>
      <c r="G31" s="20">
        <f>'Ang8'!F$35</f>
        <v>0</v>
      </c>
      <c r="H31" s="19">
        <f>'Ang8'!G$35</f>
        <v>0</v>
      </c>
      <c r="I31" s="19">
        <f>'Ang8'!H$35</f>
        <v>0</v>
      </c>
      <c r="J31" s="19">
        <f>'Ang8'!I$35</f>
        <v>0</v>
      </c>
      <c r="K31" s="19">
        <f>'Ang8'!J$35</f>
        <v>0</v>
      </c>
      <c r="L31" s="19">
        <f>'Ang8'!K$35</f>
        <v>0</v>
      </c>
      <c r="M31" s="19">
        <f>'Ang8'!L$35</f>
        <v>0</v>
      </c>
      <c r="N31" s="19">
        <f>'Ang8'!M$35</f>
        <v>0</v>
      </c>
      <c r="O31" s="20">
        <f>'Ang8'!N$35</f>
        <v>0</v>
      </c>
      <c r="P31" s="19">
        <f>'Ang8'!O$35</f>
        <v>0</v>
      </c>
      <c r="Q31" s="20">
        <f>'Ang8'!P$35</f>
        <v>0</v>
      </c>
    </row>
    <row r="32" spans="1:17" x14ac:dyDescent="0.25">
      <c r="A32" s="18" t="s">
        <v>57</v>
      </c>
      <c r="B32" s="19">
        <f>'Ang9'!$C$4</f>
        <v>0</v>
      </c>
      <c r="C32" s="20">
        <f>'Ang9'!B$35</f>
        <v>0</v>
      </c>
      <c r="D32" s="19">
        <f>'Ang9'!C$35</f>
        <v>0</v>
      </c>
      <c r="E32" s="19">
        <f>'Ang9'!D$35</f>
        <v>0</v>
      </c>
      <c r="F32" s="19">
        <f>'Ang9'!E$35</f>
        <v>0</v>
      </c>
      <c r="G32" s="20">
        <f>'Ang9'!F$35</f>
        <v>0</v>
      </c>
      <c r="H32" s="19">
        <f>'Ang9'!G$35</f>
        <v>0</v>
      </c>
      <c r="I32" s="19">
        <f>'Ang9'!H$35</f>
        <v>0</v>
      </c>
      <c r="J32" s="19">
        <f>'Ang9'!I$35</f>
        <v>0</v>
      </c>
      <c r="K32" s="19">
        <f>'Ang9'!J$35</f>
        <v>0</v>
      </c>
      <c r="L32" s="19">
        <f>'Ang9'!K$35</f>
        <v>0</v>
      </c>
      <c r="M32" s="19">
        <f>'Ang9'!L$35</f>
        <v>0</v>
      </c>
      <c r="N32" s="19">
        <f>'Ang9'!M$35</f>
        <v>0</v>
      </c>
      <c r="O32" s="20">
        <f>'Ang9'!N$35</f>
        <v>0</v>
      </c>
      <c r="P32" s="19">
        <f>'Ang9'!O$35</f>
        <v>0</v>
      </c>
      <c r="Q32" s="20">
        <f>'Ang9'!P$35</f>
        <v>0</v>
      </c>
    </row>
    <row r="33" spans="1:18" x14ac:dyDescent="0.25">
      <c r="A33" s="18" t="s">
        <v>58</v>
      </c>
      <c r="B33" s="19">
        <f>'Ang10'!$C$4</f>
        <v>0</v>
      </c>
      <c r="C33" s="20">
        <f>'Ang10'!B$35</f>
        <v>0</v>
      </c>
      <c r="D33" s="19">
        <f>'Ang10'!C$35</f>
        <v>0</v>
      </c>
      <c r="E33" s="19">
        <f>'Ang10'!D$35</f>
        <v>0</v>
      </c>
      <c r="F33" s="19">
        <f>'Ang10'!E$35</f>
        <v>0</v>
      </c>
      <c r="G33" s="20">
        <f>'Ang10'!F$35</f>
        <v>0</v>
      </c>
      <c r="H33" s="19">
        <f>'Ang10'!G$35</f>
        <v>0</v>
      </c>
      <c r="I33" s="19">
        <f>'Ang10'!H$35</f>
        <v>0</v>
      </c>
      <c r="J33" s="19">
        <f>'Ang10'!I$35</f>
        <v>0</v>
      </c>
      <c r="K33" s="19">
        <f>'Ang10'!J$35</f>
        <v>0</v>
      </c>
      <c r="L33" s="19">
        <f>'Ang10'!K$35</f>
        <v>0</v>
      </c>
      <c r="M33" s="19">
        <f>'Ang10'!L$35</f>
        <v>0</v>
      </c>
      <c r="N33" s="19">
        <f>'Ang10'!M$35</f>
        <v>0</v>
      </c>
      <c r="O33" s="20">
        <f>'Ang10'!N$35</f>
        <v>0</v>
      </c>
      <c r="P33" s="19">
        <f>'Ang10'!O$35</f>
        <v>0</v>
      </c>
      <c r="Q33" s="20">
        <f>'Ang10'!P$35</f>
        <v>0</v>
      </c>
    </row>
    <row r="34" spans="1:18" ht="15" thickBot="1" x14ac:dyDescent="0.3">
      <c r="B34" s="21" t="s">
        <v>0</v>
      </c>
      <c r="C34" s="22">
        <f t="shared" ref="C34:P34" si="0">SUM(C24:C33)</f>
        <v>0</v>
      </c>
      <c r="D34" s="23">
        <f t="shared" si="0"/>
        <v>0</v>
      </c>
      <c r="E34" s="23">
        <f t="shared" si="0"/>
        <v>0</v>
      </c>
      <c r="F34" s="23">
        <f t="shared" si="0"/>
        <v>0</v>
      </c>
      <c r="G34" s="22">
        <f t="shared" si="0"/>
        <v>0</v>
      </c>
      <c r="H34" s="23">
        <f t="shared" si="0"/>
        <v>0</v>
      </c>
      <c r="I34" s="23">
        <f t="shared" si="0"/>
        <v>0</v>
      </c>
      <c r="J34" s="23">
        <f t="shared" si="0"/>
        <v>0</v>
      </c>
      <c r="K34" s="23">
        <f t="shared" si="0"/>
        <v>0</v>
      </c>
      <c r="L34" s="23">
        <f t="shared" si="0"/>
        <v>0</v>
      </c>
      <c r="M34" s="23">
        <f t="shared" si="0"/>
        <v>0</v>
      </c>
      <c r="N34" s="23">
        <f t="shared" si="0"/>
        <v>0</v>
      </c>
      <c r="O34" s="22">
        <f t="shared" si="0"/>
        <v>0</v>
      </c>
      <c r="P34" s="22">
        <f t="shared" si="0"/>
        <v>0</v>
      </c>
      <c r="Q34" s="22">
        <f>SUM(Q24:Q33)</f>
        <v>0</v>
      </c>
    </row>
    <row r="35" spans="1:18" ht="16.5" customHeight="1" thickTop="1" x14ac:dyDescent="0.25">
      <c r="B35" s="21"/>
      <c r="C35" s="19"/>
      <c r="D35" s="19"/>
      <c r="E35" s="19"/>
      <c r="F35" s="19"/>
      <c r="G35" s="98" t="str">
        <f>IF(H34=0,"","Total AHV+ALV:")</f>
        <v/>
      </c>
      <c r="H35" s="98"/>
      <c r="I35" s="94" t="str">
        <f>IF(H34=0,"",H34+I34)</f>
        <v/>
      </c>
      <c r="J35" s="98" t="str">
        <f>IF(H34=0,"","Total AHV+ALV+NBU:")</f>
        <v/>
      </c>
      <c r="K35" s="98"/>
      <c r="L35" s="94" t="str">
        <f>IF(G34=0,"",I35+K34)</f>
        <v/>
      </c>
      <c r="M35" s="94"/>
      <c r="N35" s="19"/>
      <c r="O35" s="19"/>
      <c r="P35" s="19"/>
      <c r="Q35" s="20"/>
    </row>
    <row r="36" spans="1:18" ht="15.75" customHeight="1" x14ac:dyDescent="0.25">
      <c r="B36" s="21"/>
      <c r="C36" s="19"/>
      <c r="D36" s="19"/>
      <c r="E36" s="19"/>
      <c r="G36" s="94"/>
      <c r="H36" s="95"/>
      <c r="I36" s="95"/>
      <c r="J36" s="94"/>
      <c r="K36" s="94"/>
      <c r="L36" s="94"/>
      <c r="M36" s="94"/>
      <c r="N36" s="19"/>
      <c r="O36" s="111" t="s">
        <v>32</v>
      </c>
      <c r="P36" s="112"/>
      <c r="Q36" s="24">
        <f>C34+D34+E34+F34-H34-I34-J34-K34-L34-M34-N34+P34</f>
        <v>0</v>
      </c>
    </row>
    <row r="37" spans="1:18" x14ac:dyDescent="0.25">
      <c r="B37" s="21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</row>
    <row r="38" spans="1:18" s="25" customFormat="1" ht="16.5" x14ac:dyDescent="0.3">
      <c r="B38" s="26" t="s">
        <v>35</v>
      </c>
      <c r="Q38" s="27"/>
    </row>
    <row r="39" spans="1:18" s="25" customFormat="1" ht="16.5" x14ac:dyDescent="0.3">
      <c r="B39" s="96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28"/>
    </row>
    <row r="40" spans="1:18" ht="16.5" x14ac:dyDescent="0.3">
      <c r="B40" s="96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28"/>
    </row>
    <row r="41" spans="1:18" ht="16.5" x14ac:dyDescent="0.3">
      <c r="B41" s="96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28"/>
    </row>
    <row r="42" spans="1:18" ht="16.5" x14ac:dyDescent="0.3">
      <c r="B42" s="96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28"/>
    </row>
    <row r="43" spans="1:18" ht="16.5" x14ac:dyDescent="0.3">
      <c r="B43" s="96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28"/>
    </row>
    <row r="44" spans="1:18" ht="16.5" x14ac:dyDescent="0.3">
      <c r="B44" s="96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28"/>
    </row>
    <row r="45" spans="1:18" ht="16.5" x14ac:dyDescent="0.3">
      <c r="B45" s="96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28"/>
    </row>
    <row r="46" spans="1:18" ht="16.5" x14ac:dyDescent="0.3">
      <c r="B46" s="96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28"/>
    </row>
    <row r="47" spans="1:18" ht="16.5" x14ac:dyDescent="0.3">
      <c r="R47" s="28"/>
    </row>
    <row r="48" spans="1:18" ht="16.5" x14ac:dyDescent="0.3">
      <c r="R48" s="28"/>
    </row>
    <row r="49" spans="2:18" ht="16.5" x14ac:dyDescent="0.3">
      <c r="R49" s="28"/>
    </row>
    <row r="50" spans="2:18" ht="16.5" x14ac:dyDescent="0.3">
      <c r="R50" s="28"/>
    </row>
    <row r="51" spans="2:18" s="25" customFormat="1" ht="16.5" x14ac:dyDescent="0.3">
      <c r="B51" s="26"/>
      <c r="R51" s="28"/>
    </row>
    <row r="52" spans="2:18" s="25" customFormat="1" ht="16.5" x14ac:dyDescent="0.3">
      <c r="B52" s="29"/>
      <c r="I52" s="30"/>
      <c r="J52" s="30"/>
      <c r="R52" s="28"/>
    </row>
    <row r="53" spans="2:18" s="25" customFormat="1" ht="16.5" x14ac:dyDescent="0.3">
      <c r="B53" s="31"/>
      <c r="R53" s="28"/>
    </row>
    <row r="54" spans="2:18" ht="16.5" x14ac:dyDescent="0.3">
      <c r="R54" s="28"/>
    </row>
    <row r="55" spans="2:18" ht="16.5" x14ac:dyDescent="0.3">
      <c r="R55" s="28"/>
    </row>
    <row r="56" spans="2:18" s="25" customFormat="1" ht="16.5" x14ac:dyDescent="0.3">
      <c r="B56" s="26" t="s">
        <v>36</v>
      </c>
      <c r="R56" s="28"/>
    </row>
    <row r="57" spans="2:18" s="25" customFormat="1" ht="16.5" x14ac:dyDescent="0.3">
      <c r="B57" s="96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28"/>
    </row>
    <row r="58" spans="2:18" ht="16.5" x14ac:dyDescent="0.3">
      <c r="B58" s="96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28"/>
    </row>
    <row r="59" spans="2:18" ht="16.5" x14ac:dyDescent="0.3">
      <c r="B59" s="96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28"/>
    </row>
    <row r="60" spans="2:18" s="25" customFormat="1" ht="16.5" x14ac:dyDescent="0.3">
      <c r="B60" s="96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28"/>
    </row>
    <row r="61" spans="2:18" ht="16.5" x14ac:dyDescent="0.3">
      <c r="B61" s="96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28"/>
    </row>
    <row r="62" spans="2:18" ht="16.5" x14ac:dyDescent="0.3">
      <c r="B62" s="96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28"/>
    </row>
    <row r="63" spans="2:18" s="25" customFormat="1" ht="16.5" x14ac:dyDescent="0.3">
      <c r="B63" s="96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28"/>
    </row>
    <row r="64" spans="2:18" ht="16.5" x14ac:dyDescent="0.3">
      <c r="B64" s="96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28"/>
    </row>
    <row r="65" spans="2:18" ht="16.5" x14ac:dyDescent="0.3">
      <c r="B65" s="96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28"/>
    </row>
    <row r="66" spans="2:18" s="25" customFormat="1" ht="16.5" x14ac:dyDescent="0.3">
      <c r="B66" s="96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28"/>
    </row>
    <row r="67" spans="2:18" ht="16.5" x14ac:dyDescent="0.3">
      <c r="B67" s="96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28"/>
    </row>
    <row r="68" spans="2:18" ht="16.5" x14ac:dyDescent="0.3">
      <c r="B68" s="96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28"/>
    </row>
  </sheetData>
  <sheetProtection algorithmName="SHA-512" hashValue="OhahLU+nMWje73DEW3Ow2uiwR7Eo1MOpfu38ICSWxR4VeIerPwq0j9We9PnGFwOusIZxIQvZdGr8nOqErmqy/g==" saltValue="r5bvHSkD/+9OkyxjDjKtbA==" spinCount="100000" sheet="1" objects="1" scenarios="1"/>
  <customSheetViews>
    <customSheetView guid="{04106264-F657-4A1A-B82E-CC675E3BD1F2}" showRuler="0">
      <selection activeCell="G8" sqref="G8"/>
      <pageMargins left="0.78740157499999996" right="0.78740157499999996" top="0.984251969" bottom="0.984251969" header="0.4921259845" footer="0.4921259845"/>
      <pageSetup paperSize="9" orientation="portrait" horizontalDpi="0" verticalDpi="0" r:id="rId1"/>
      <headerFooter alignWithMargins="0"/>
    </customSheetView>
  </customSheetViews>
  <mergeCells count="41">
    <mergeCell ref="B68:Q68"/>
    <mergeCell ref="B2:C2"/>
    <mergeCell ref="B3:C3"/>
    <mergeCell ref="G21:G23"/>
    <mergeCell ref="H21:H23"/>
    <mergeCell ref="P21:P23"/>
    <mergeCell ref="B63:Q63"/>
    <mergeCell ref="B64:Q64"/>
    <mergeCell ref="B65:Q65"/>
    <mergeCell ref="B66:Q66"/>
    <mergeCell ref="B67:Q67"/>
    <mergeCell ref="O36:P36"/>
    <mergeCell ref="B39:Q39"/>
    <mergeCell ref="B40:Q40"/>
    <mergeCell ref="B41:Q41"/>
    <mergeCell ref="B62:Q62"/>
    <mergeCell ref="Q21:Q23"/>
    <mergeCell ref="B21:B23"/>
    <mergeCell ref="C21:C23"/>
    <mergeCell ref="D21:D23"/>
    <mergeCell ref="E21:E23"/>
    <mergeCell ref="F21:F23"/>
    <mergeCell ref="J35:K35"/>
    <mergeCell ref="G35:H35"/>
    <mergeCell ref="I21:I23"/>
    <mergeCell ref="N21:N22"/>
    <mergeCell ref="O21:O23"/>
    <mergeCell ref="J21:J23"/>
    <mergeCell ref="M21:M22"/>
    <mergeCell ref="K21:K23"/>
    <mergeCell ref="L21:L23"/>
    <mergeCell ref="B42:Q42"/>
    <mergeCell ref="B43:Q43"/>
    <mergeCell ref="B44:Q44"/>
    <mergeCell ref="B45:Q45"/>
    <mergeCell ref="B46:Q46"/>
    <mergeCell ref="B57:Q57"/>
    <mergeCell ref="B58:Q58"/>
    <mergeCell ref="B59:Q59"/>
    <mergeCell ref="B60:Q60"/>
    <mergeCell ref="B61:Q61"/>
  </mergeCells>
  <phoneticPr fontId="0" type="noConversion"/>
  <conditionalFormatting sqref="B2:C2">
    <cfRule type="expression" dxfId="0" priority="1">
      <formula>$B$2</formula>
    </cfRule>
  </conditionalFormatting>
  <printOptions horizontalCentered="1"/>
  <pageMargins left="1.0629921259842521" right="0.78740157480314965" top="0.59055118110236227" bottom="0.59055118110236227" header="0.51181102362204722" footer="0.31496062992125984"/>
  <pageSetup paperSize="9" scale="64" orientation="landscape" r:id="rId2"/>
  <headerFooter>
    <oddFooter>&amp;L&amp;G&amp;C&amp;"Segoe UI Semilight,Standard"&amp;K1D71B8Bern | Biel/Bienne&amp;R&amp;"Segoe UI Semilight,Standard"&amp;K1D71B8strasser-ag.ch</oddFooter>
  </headerFooter>
  <drawing r:id="rId3"/>
  <legacyDrawing r:id="rId4"/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1:AD70"/>
  <sheetViews>
    <sheetView showGridLines="0" zoomScale="90" zoomScaleNormal="90" workbookViewId="0">
      <selection activeCell="B20" sqref="B20"/>
    </sheetView>
  </sheetViews>
  <sheetFormatPr baseColWidth="10" defaultColWidth="11.28515625" defaultRowHeight="16.5" x14ac:dyDescent="0.3"/>
  <cols>
    <col min="1" max="1" width="16" style="25" customWidth="1"/>
    <col min="2" max="15" width="12.140625" style="25" customWidth="1"/>
    <col min="16" max="16" width="11.85546875" style="25" bestFit="1" customWidth="1"/>
    <col min="17" max="17" width="10.7109375" style="25" hidden="1" customWidth="1"/>
    <col min="18" max="18" width="11" style="25" hidden="1" customWidth="1"/>
    <col min="19" max="19" width="10.7109375" style="25" hidden="1" customWidth="1"/>
    <col min="20" max="20" width="11" style="25" hidden="1" customWidth="1"/>
    <col min="21" max="21" width="14.85546875" style="25" hidden="1" customWidth="1"/>
    <col min="22" max="22" width="14.28515625" style="25" hidden="1" customWidth="1"/>
    <col min="23" max="23" width="7.85546875" style="25" hidden="1" customWidth="1"/>
    <col min="24" max="24" width="9.85546875" style="25" hidden="1" customWidth="1"/>
    <col min="25" max="25" width="12.7109375" style="25" hidden="1" customWidth="1"/>
    <col min="26" max="26" width="14" style="25" hidden="1" customWidth="1"/>
    <col min="27" max="27" width="17.5703125" style="25" hidden="1" customWidth="1"/>
    <col min="28" max="28" width="11.5703125" style="25" hidden="1" customWidth="1"/>
    <col min="29" max="30" width="14.28515625" style="25" hidden="1" customWidth="1"/>
    <col min="31" max="31" width="11.28515625" style="25" customWidth="1"/>
    <col min="32" max="16384" width="11.28515625" style="25"/>
  </cols>
  <sheetData>
    <row r="1" spans="1:18" s="34" customFormat="1" ht="20.25" x14ac:dyDescent="0.35">
      <c r="A1" s="32" t="s">
        <v>42</v>
      </c>
      <c r="B1" s="33">
        <f>Jahr</f>
        <v>2025</v>
      </c>
      <c r="P1" s="35">
        <f>Firma</f>
        <v>0</v>
      </c>
    </row>
    <row r="2" spans="1:18" s="34" customFormat="1" ht="20.25" x14ac:dyDescent="0.35">
      <c r="E2" s="36"/>
      <c r="P2" s="35">
        <f>Ort</f>
        <v>0</v>
      </c>
    </row>
    <row r="3" spans="1:18" s="34" customFormat="1" x14ac:dyDescent="0.3">
      <c r="Q3" s="37"/>
    </row>
    <row r="4" spans="1:18" s="34" customFormat="1" x14ac:dyDescent="0.3">
      <c r="A4" s="38" t="s">
        <v>2</v>
      </c>
      <c r="C4" s="134"/>
      <c r="D4" s="134"/>
      <c r="E4" s="134"/>
      <c r="G4" s="39" t="s">
        <v>3</v>
      </c>
      <c r="H4" s="132"/>
      <c r="I4" s="132"/>
      <c r="J4" s="40" t="str">
        <f>IF(H4&gt;R31,"Achtung, ungültiges Datum"," ")</f>
        <v xml:space="preserve"> </v>
      </c>
      <c r="R4" s="41">
        <f>IF(H4&gt;Q20,H4,Q20)</f>
        <v>45658</v>
      </c>
    </row>
    <row r="5" spans="1:18" s="34" customFormat="1" x14ac:dyDescent="0.3">
      <c r="A5" s="38" t="s">
        <v>4</v>
      </c>
      <c r="C5" s="133"/>
      <c r="D5" s="133"/>
      <c r="E5" s="133"/>
      <c r="G5" s="39" t="s">
        <v>5</v>
      </c>
      <c r="H5" s="132"/>
      <c r="I5" s="132"/>
      <c r="J5" s="40" t="str">
        <f>IF(H5=0," ",IF(H5&lt;Q20,"Achtung, ungültiges Datum"," "))</f>
        <v xml:space="preserve"> </v>
      </c>
      <c r="R5" s="41">
        <f>IF(H5=0,R31,IF(H5&gt;R31,R31,H5))</f>
        <v>46022</v>
      </c>
    </row>
    <row r="6" spans="1:18" s="34" customFormat="1" ht="17.649999999999999" customHeight="1" x14ac:dyDescent="0.3">
      <c r="A6" s="38" t="s">
        <v>6</v>
      </c>
      <c r="C6" s="133"/>
      <c r="D6" s="133"/>
      <c r="E6" s="133"/>
      <c r="H6" s="42" t="str">
        <f>IF(H5&lt;H4,IF(H5="","","Achtung: Fehler Eintritt / Austritt"),"")</f>
        <v/>
      </c>
      <c r="I6" s="43"/>
    </row>
    <row r="7" spans="1:18" s="34" customFormat="1" ht="17.649999999999999" customHeight="1" x14ac:dyDescent="0.3">
      <c r="A7" s="38" t="s">
        <v>33</v>
      </c>
      <c r="C7" s="133"/>
      <c r="D7" s="133"/>
      <c r="E7" s="133"/>
      <c r="G7" s="39" t="s">
        <v>7</v>
      </c>
      <c r="I7" s="44"/>
      <c r="J7" s="45" t="str">
        <f>IF(E13=1,IF(I7="M","Achtung: Mitarbeiter wird pensioniert per:",IF(E13=1,"Achtung: Mitarbeiterin wird pensioniert per:","")),"")</f>
        <v/>
      </c>
      <c r="N7" s="46" t="str">
        <f>IF(E13=1,C14," ")</f>
        <v xml:space="preserve"> </v>
      </c>
      <c r="O7" s="46"/>
    </row>
    <row r="8" spans="1:18" s="34" customFormat="1" x14ac:dyDescent="0.3">
      <c r="A8" s="38"/>
      <c r="C8" s="42" t="str">
        <f>IF((B35+C35)&lt;&gt;0,IF(C4="","Achtung: Name, Vorname und Adresse eingeben!",""),"")</f>
        <v/>
      </c>
      <c r="D8" s="37"/>
      <c r="E8" s="37"/>
      <c r="I8" s="42" t="str">
        <f>IF((B35+C35)&lt;&gt;0,IF(I7="","Achtung: 'm' für männlich, 'w' für weiblich eingeben!",""),"")</f>
        <v/>
      </c>
      <c r="K8" s="43"/>
    </row>
    <row r="9" spans="1:18" s="34" customFormat="1" x14ac:dyDescent="0.3">
      <c r="A9" s="38" t="s">
        <v>54</v>
      </c>
      <c r="C9" s="135"/>
      <c r="D9" s="135"/>
      <c r="E9" s="47"/>
      <c r="F9" s="48" t="str">
        <f ca="1">IF(D13&gt;=1,"Referenzalter erreicht ab","")</f>
        <v/>
      </c>
      <c r="G9" s="49" t="str">
        <f ca="1">IF(D13=1,C14, " ")</f>
        <v xml:space="preserve"> </v>
      </c>
      <c r="H9" s="50" t="str">
        <f ca="1">IF(F9&gt;" ","AHV-Freibetrag von Fr. 1'400.-- pro Monat berücksichtigen! Kein ALV-Abzug mehr; Korrektur unter Spalte M oder N","")</f>
        <v/>
      </c>
      <c r="I9" s="1"/>
      <c r="J9" s="1"/>
      <c r="K9" s="1"/>
      <c r="L9" s="1"/>
      <c r="M9" s="1"/>
      <c r="N9" s="1"/>
      <c r="O9" s="1"/>
      <c r="P9" s="1"/>
      <c r="Q9" s="1"/>
    </row>
    <row r="10" spans="1:18" s="34" customFormat="1" x14ac:dyDescent="0.3">
      <c r="A10" s="38" t="s">
        <v>55</v>
      </c>
      <c r="C10" s="135"/>
      <c r="D10" s="135"/>
      <c r="E10" s="37"/>
      <c r="F10" s="45"/>
      <c r="G10" s="51"/>
      <c r="H10" s="137" t="str">
        <f ca="1">IF(H9&gt;" ","Mitarbeitende können neu freiwillig auf den AHV-Freibetrag verzichten","")</f>
        <v/>
      </c>
      <c r="I10" s="137"/>
      <c r="J10" s="137"/>
      <c r="K10" s="137"/>
      <c r="L10" s="137"/>
    </row>
    <row r="11" spans="1:18" s="34" customFormat="1" x14ac:dyDescent="0.3">
      <c r="A11" s="38"/>
      <c r="C11" s="52"/>
      <c r="D11" s="52"/>
      <c r="E11" s="45"/>
      <c r="F11" s="53" t="str">
        <f>IF(F13&lt;18,IF(C13&gt;0,"Achtung:",""),"")</f>
        <v/>
      </c>
      <c r="G11" s="51" t="str">
        <f>IF(F11&gt;" ","Angestellte Person ist unter 18 Jahre!","")</f>
        <v/>
      </c>
      <c r="P11" s="54"/>
    </row>
    <row r="12" spans="1:18" s="34" customFormat="1" x14ac:dyDescent="0.3">
      <c r="A12" s="38" t="s">
        <v>8</v>
      </c>
      <c r="C12" s="136"/>
      <c r="D12" s="136"/>
      <c r="E12" s="45"/>
      <c r="G12" s="51" t="str">
        <f>IF(F11&gt;" ","Lohn unter 'nicht AHV-pflichtig' eintragen und ALV manuell auf 0% stellen!","")</f>
        <v/>
      </c>
    </row>
    <row r="13" spans="1:18" s="34" customFormat="1" hidden="1" x14ac:dyDescent="0.3">
      <c r="A13" s="56" t="s">
        <v>62</v>
      </c>
      <c r="B13" s="57"/>
      <c r="C13" s="58" t="b">
        <f>IF($C$12&gt;0,IF(I7="W",EDATE($C$12,(12*64.33)),IF(I7="M",EDATE($C$12,65*12))))</f>
        <v>0</v>
      </c>
      <c r="D13" s="59">
        <f ca="1">IF(C14&gt;TODAY(),0,1)</f>
        <v>0</v>
      </c>
      <c r="E13" s="60">
        <f>IF(C14-($Q$20-1)&lt;365.25,IF(C14-($Q$20-1)&gt;0,1,0),0)</f>
        <v>0</v>
      </c>
      <c r="F13" s="34">
        <f>(R31-C12)/365.25</f>
        <v>126.00136892539356</v>
      </c>
    </row>
    <row r="14" spans="1:18" s="34" customFormat="1" hidden="1" x14ac:dyDescent="0.3">
      <c r="A14" s="56" t="s">
        <v>63</v>
      </c>
      <c r="B14" s="57"/>
      <c r="C14" s="61">
        <f>IFERROR(IF(I7="W",IF(C12&gt;22281,EOMONTH(C13,1),EOMONTH(C13,-2)),EOMONTH(C13,1)),DATE(2900,1,1))</f>
        <v>365245</v>
      </c>
      <c r="E14" s="60"/>
    </row>
    <row r="15" spans="1:18" s="34" customFormat="1" x14ac:dyDescent="0.3">
      <c r="A15" s="37"/>
      <c r="D15" s="130" t="s">
        <v>41</v>
      </c>
      <c r="E15" s="130"/>
      <c r="F15" s="130"/>
      <c r="G15" s="131"/>
      <c r="H15" s="62"/>
      <c r="I15" s="63"/>
      <c r="J15" s="62"/>
      <c r="K15" s="62"/>
    </row>
    <row r="16" spans="1:18" s="16" customFormat="1" ht="12.75" customHeight="1" x14ac:dyDescent="0.25">
      <c r="A16" s="117" t="s">
        <v>9</v>
      </c>
      <c r="B16" s="117" t="str">
        <f>Zusammenstellung!C21</f>
        <v>AHV-Lohn</v>
      </c>
      <c r="C16" s="117" t="str">
        <f>Zusammenstellung!D21</f>
        <v>nicht AHV-pflichtig</v>
      </c>
      <c r="D16" s="117" t="str">
        <f>Zusammenstellung!E21</f>
        <v>Unfall- und
Kranken-
taggeld</v>
      </c>
      <c r="E16" s="117" t="str">
        <f>Zusammenstellung!F21</f>
        <v>Kinder-
zulagen</v>
      </c>
      <c r="F16" s="117" t="str">
        <f>Zusammenstellung!G21</f>
        <v>Total Bruttolohn</v>
      </c>
      <c r="G16" s="128" t="str">
        <f>Zusammenstellung!H21</f>
        <v>AHV</v>
      </c>
      <c r="H16" s="128" t="str">
        <f>Zusammenstellung!I21</f>
        <v>ALV</v>
      </c>
      <c r="I16" s="117" t="str">
        <f>Zusammenstellung!J21</f>
        <v>BVG</v>
      </c>
      <c r="J16" s="128" t="str">
        <f>Zusammenstellung!K21</f>
        <v>NBU</v>
      </c>
      <c r="K16" s="128" t="str">
        <f>Zusammenstellung!L21</f>
        <v>KTG</v>
      </c>
      <c r="L16" s="120"/>
      <c r="M16" s="120"/>
      <c r="N16" s="117" t="str">
        <f>Zusammenstellung!O21</f>
        <v>Nettolohn</v>
      </c>
      <c r="O16" s="117" t="str">
        <f>Zusammenstellung!P21</f>
        <v xml:space="preserve">Spesen </v>
      </c>
      <c r="P16" s="117" t="str">
        <f>Zusammenstellung!Q21</f>
        <v>Auszahlung</v>
      </c>
    </row>
    <row r="17" spans="1:29" s="16" customFormat="1" ht="14.25" x14ac:dyDescent="0.25">
      <c r="A17" s="118"/>
      <c r="B17" s="118"/>
      <c r="C17" s="118"/>
      <c r="D17" s="118"/>
      <c r="E17" s="118"/>
      <c r="F17" s="118"/>
      <c r="G17" s="129"/>
      <c r="H17" s="129"/>
      <c r="I17" s="118"/>
      <c r="J17" s="129"/>
      <c r="K17" s="129"/>
      <c r="L17" s="121"/>
      <c r="M17" s="121"/>
      <c r="N17" s="118"/>
      <c r="O17" s="118"/>
      <c r="P17" s="118"/>
      <c r="Q17" s="115" t="s">
        <v>9</v>
      </c>
      <c r="R17" s="116"/>
      <c r="S17" s="116" t="s">
        <v>45</v>
      </c>
      <c r="T17" s="116"/>
      <c r="U17" s="16" t="s">
        <v>46</v>
      </c>
      <c r="V17" s="16" t="s">
        <v>47</v>
      </c>
      <c r="W17" s="16" t="s">
        <v>50</v>
      </c>
      <c r="X17" s="16" t="s">
        <v>60</v>
      </c>
      <c r="Y17" s="16" t="s">
        <v>51</v>
      </c>
      <c r="Z17" s="16" t="s">
        <v>61</v>
      </c>
      <c r="AA17" s="16" t="s">
        <v>49</v>
      </c>
      <c r="AB17" s="16" t="s">
        <v>48</v>
      </c>
      <c r="AC17" s="16" t="s">
        <v>59</v>
      </c>
    </row>
    <row r="18" spans="1:29" s="16" customFormat="1" ht="14.25" x14ac:dyDescent="0.2">
      <c r="A18" s="119"/>
      <c r="B18" s="119"/>
      <c r="C18" s="119"/>
      <c r="D18" s="119"/>
      <c r="E18" s="119"/>
      <c r="F18" s="119"/>
      <c r="G18" s="64">
        <f>AHV</f>
        <v>5.2999999999999999E-2</v>
      </c>
      <c r="H18" s="64">
        <f>IF(H15="",ALV,H15)</f>
        <v>1.0999999999999999E-2</v>
      </c>
      <c r="I18" s="119"/>
      <c r="J18" s="64">
        <f>IF(J15="",NBU,J15)</f>
        <v>1.4E-2</v>
      </c>
      <c r="K18" s="64">
        <f>IF(K15="",IF(I7="w",KTGW,KTG),K15)</f>
        <v>0.01</v>
      </c>
      <c r="L18" s="17"/>
      <c r="M18" s="17"/>
      <c r="N18" s="119"/>
      <c r="O18" s="119"/>
      <c r="P18" s="119"/>
      <c r="Q18" s="65" t="s">
        <v>43</v>
      </c>
      <c r="R18" s="65" t="s">
        <v>44</v>
      </c>
      <c r="S18" s="65" t="s">
        <v>43</v>
      </c>
      <c r="T18" s="65" t="s">
        <v>44</v>
      </c>
    </row>
    <row r="19" spans="1:29" s="16" customFormat="1" x14ac:dyDescent="0.3">
      <c r="A19" s="63"/>
      <c r="B19" s="63"/>
      <c r="C19" s="63"/>
      <c r="D19" s="63"/>
      <c r="E19" s="63"/>
      <c r="F19" s="63"/>
      <c r="G19" s="66"/>
      <c r="H19" s="66"/>
      <c r="I19" s="63"/>
      <c r="J19" s="66"/>
      <c r="K19" s="66"/>
      <c r="L19" s="66"/>
      <c r="M19" s="66"/>
      <c r="N19" s="63"/>
      <c r="O19" s="63"/>
      <c r="P19" s="63"/>
      <c r="Z19" s="67"/>
    </row>
    <row r="20" spans="1:29" x14ac:dyDescent="0.3">
      <c r="A20" s="68">
        <v>38383</v>
      </c>
      <c r="B20" s="69"/>
      <c r="C20" s="69"/>
      <c r="D20" s="69"/>
      <c r="E20" s="69"/>
      <c r="F20" s="70">
        <f t="shared" ref="F20:F33" si="0">SUM(B20:E20)</f>
        <v>0</v>
      </c>
      <c r="G20" s="71">
        <f>ROUND($B20*G$18/5,2)*5</f>
        <v>0</v>
      </c>
      <c r="H20" s="71">
        <f t="shared" ref="H20:H33" si="1">ROUND(W20*$H$18/5,2)*5</f>
        <v>0</v>
      </c>
      <c r="I20" s="69"/>
      <c r="J20" s="71">
        <f t="shared" ref="J20:J33" si="2">ROUND(W20*$J$18/5,2)*5</f>
        <v>0</v>
      </c>
      <c r="K20" s="71">
        <f t="shared" ref="K20:K33" si="3">ROUND(($B20+$C20)*K$18/5,2)*5</f>
        <v>0</v>
      </c>
      <c r="L20" s="69"/>
      <c r="M20" s="69"/>
      <c r="N20" s="71">
        <f>F20-G20-H20-J20-K20-L20-M20-I20</f>
        <v>0</v>
      </c>
      <c r="O20" s="69"/>
      <c r="P20" s="70">
        <f t="shared" ref="P20:P33" si="4">N20+O20</f>
        <v>0</v>
      </c>
      <c r="Q20" s="72">
        <v>45658</v>
      </c>
      <c r="R20" s="41">
        <f>Q20+30</f>
        <v>45688</v>
      </c>
      <c r="S20" s="41">
        <f t="shared" ref="S20:S31" si="5">IF($R$4&gt;R20,0,IF($R$4&gt;Q20,$R$4,Q20))</f>
        <v>45658</v>
      </c>
      <c r="T20" s="41">
        <f t="shared" ref="T20:T31" si="6">IF(S20=0,0,IF($R$5&gt;R20,R20,IF(S20&gt;$R$5,(S20)-1,$R$5)))</f>
        <v>45688</v>
      </c>
      <c r="U20" s="73">
        <f>IF(S20=0,0,DAYS360(S20,T20,1)+1)</f>
        <v>30</v>
      </c>
      <c r="V20" s="73">
        <f>U20</f>
        <v>30</v>
      </c>
      <c r="W20" s="67">
        <f>IF(AA20&gt;AB20,AB20-Y19,AA20-Y19)</f>
        <v>0</v>
      </c>
      <c r="X20" s="67">
        <f>IF(AA20&lt;(AB20),0,IF(AA20&gt;(AB20+AC20),AC20-Z19,AA20-Z19-AB20))</f>
        <v>0</v>
      </c>
      <c r="Y20" s="67">
        <f>W20</f>
        <v>0</v>
      </c>
      <c r="Z20" s="67">
        <f>X20</f>
        <v>0</v>
      </c>
      <c r="AA20" s="67">
        <f>B20+C20</f>
        <v>0</v>
      </c>
      <c r="AB20" s="67">
        <f t="shared" ref="AB20:AB33" si="7">ALVMAX/360*V20</f>
        <v>12350</v>
      </c>
      <c r="AC20" s="67">
        <f>(ALVMAX2/360*V20)-AB20</f>
        <v>8320983.2500000009</v>
      </c>
    </row>
    <row r="21" spans="1:29" x14ac:dyDescent="0.3">
      <c r="A21" s="68">
        <v>38411</v>
      </c>
      <c r="B21" s="69"/>
      <c r="C21" s="69"/>
      <c r="D21" s="69"/>
      <c r="E21" s="69"/>
      <c r="F21" s="70">
        <f t="shared" si="0"/>
        <v>0</v>
      </c>
      <c r="G21" s="71">
        <f t="shared" ref="G21:G33" si="8">ROUND(B21*$G$18/5,2)*5</f>
        <v>0</v>
      </c>
      <c r="H21" s="71">
        <f t="shared" si="1"/>
        <v>0</v>
      </c>
      <c r="I21" s="69"/>
      <c r="J21" s="71">
        <f t="shared" si="2"/>
        <v>0</v>
      </c>
      <c r="K21" s="71">
        <f t="shared" si="3"/>
        <v>0</v>
      </c>
      <c r="L21" s="69"/>
      <c r="M21" s="69"/>
      <c r="N21" s="71">
        <f t="shared" ref="N21:N33" si="9">F21-G21-H21-J21-K21-L21-M21-I21</f>
        <v>0</v>
      </c>
      <c r="O21" s="69"/>
      <c r="P21" s="70">
        <f t="shared" si="4"/>
        <v>0</v>
      </c>
      <c r="Q21" s="41">
        <f t="shared" ref="Q21:Q31" si="10">R20+1</f>
        <v>45689</v>
      </c>
      <c r="R21" s="72">
        <v>45716</v>
      </c>
      <c r="S21" s="41">
        <f t="shared" si="5"/>
        <v>45689</v>
      </c>
      <c r="T21" s="41">
        <f t="shared" si="6"/>
        <v>45716</v>
      </c>
      <c r="U21" s="73">
        <f>IF(S21=0,0,IF(R21=T21,DAYS360(S21,T21,1)+3,DAYS360(S21,T21,1)+1))</f>
        <v>30</v>
      </c>
      <c r="V21" s="73">
        <f t="shared" ref="V21:V33" si="11">V20+U21</f>
        <v>60</v>
      </c>
      <c r="W21" s="67">
        <f>IF(AA21&gt;AB21,AB21-Y20,AA21-Y20)</f>
        <v>0</v>
      </c>
      <c r="X21" s="67">
        <f>IF(AA21&lt;(AB21),0,IF(AA21&gt;(AB21+AC21),AC21-Z20,AA21-Z20-AB21))</f>
        <v>0</v>
      </c>
      <c r="Y21" s="67">
        <f t="shared" ref="Y21:Y33" si="12">Y20+W21</f>
        <v>0</v>
      </c>
      <c r="Z21" s="67">
        <f>X21+Z20</f>
        <v>0</v>
      </c>
      <c r="AA21" s="67">
        <f t="shared" ref="AA21:AA33" si="13">AA20+B21+C21</f>
        <v>0</v>
      </c>
      <c r="AB21" s="67">
        <f t="shared" si="7"/>
        <v>24700</v>
      </c>
      <c r="AC21" s="67">
        <f t="shared" ref="AC21:AC33" si="14">(ALVMAX2/360*V21)-AB21</f>
        <v>16641966.500000002</v>
      </c>
    </row>
    <row r="22" spans="1:29" x14ac:dyDescent="0.3">
      <c r="A22" s="68">
        <v>38442</v>
      </c>
      <c r="B22" s="69"/>
      <c r="C22" s="69"/>
      <c r="D22" s="69"/>
      <c r="E22" s="69"/>
      <c r="F22" s="70">
        <f t="shared" si="0"/>
        <v>0</v>
      </c>
      <c r="G22" s="71">
        <f t="shared" si="8"/>
        <v>0</v>
      </c>
      <c r="H22" s="71">
        <f t="shared" si="1"/>
        <v>0</v>
      </c>
      <c r="I22" s="69"/>
      <c r="J22" s="71">
        <f t="shared" si="2"/>
        <v>0</v>
      </c>
      <c r="K22" s="71">
        <f t="shared" si="3"/>
        <v>0</v>
      </c>
      <c r="L22" s="69"/>
      <c r="M22" s="69"/>
      <c r="N22" s="71">
        <f t="shared" si="9"/>
        <v>0</v>
      </c>
      <c r="O22" s="69"/>
      <c r="P22" s="70">
        <f t="shared" si="4"/>
        <v>0</v>
      </c>
      <c r="Q22" s="41">
        <f>R21+1</f>
        <v>45717</v>
      </c>
      <c r="R22" s="41">
        <f>Q22+30</f>
        <v>45747</v>
      </c>
      <c r="S22" s="41">
        <f t="shared" si="5"/>
        <v>45717</v>
      </c>
      <c r="T22" s="41">
        <f t="shared" si="6"/>
        <v>45747</v>
      </c>
      <c r="U22" s="73">
        <f>IF(S22=0,0,IF(T22=R21,DAYS360(S22,T22,1)+3,DAYS360(S22,T22,1)+1))</f>
        <v>30</v>
      </c>
      <c r="V22" s="73">
        <f t="shared" si="11"/>
        <v>90</v>
      </c>
      <c r="W22" s="67">
        <f>IF(AA22&gt;AB22,AB22-Y21,AA22-Y21)</f>
        <v>0</v>
      </c>
      <c r="X22" s="67">
        <f t="shared" ref="X22:X33" si="15">IF(AA22&lt;(AB22),0,IF(AA22&gt;(AB22+AC22),AC22-Z21,AA22-Z21-AB22))</f>
        <v>0</v>
      </c>
      <c r="Y22" s="67">
        <f t="shared" si="12"/>
        <v>0</v>
      </c>
      <c r="Z22" s="67">
        <f t="shared" ref="Z22:Z33" si="16">X22+Z21</f>
        <v>0</v>
      </c>
      <c r="AA22" s="67">
        <f t="shared" si="13"/>
        <v>0</v>
      </c>
      <c r="AB22" s="67">
        <f t="shared" si="7"/>
        <v>37050</v>
      </c>
      <c r="AC22" s="67">
        <f t="shared" si="14"/>
        <v>24962949.750000004</v>
      </c>
    </row>
    <row r="23" spans="1:29" x14ac:dyDescent="0.3">
      <c r="A23" s="68">
        <v>38472</v>
      </c>
      <c r="B23" s="69"/>
      <c r="C23" s="69"/>
      <c r="D23" s="69"/>
      <c r="E23" s="69"/>
      <c r="F23" s="70">
        <f t="shared" si="0"/>
        <v>0</v>
      </c>
      <c r="G23" s="71">
        <f t="shared" si="8"/>
        <v>0</v>
      </c>
      <c r="H23" s="71">
        <f t="shared" si="1"/>
        <v>0</v>
      </c>
      <c r="I23" s="69"/>
      <c r="J23" s="71">
        <f t="shared" si="2"/>
        <v>0</v>
      </c>
      <c r="K23" s="71">
        <f t="shared" si="3"/>
        <v>0</v>
      </c>
      <c r="L23" s="69"/>
      <c r="M23" s="69"/>
      <c r="N23" s="71">
        <f t="shared" si="9"/>
        <v>0</v>
      </c>
      <c r="O23" s="69"/>
      <c r="P23" s="70">
        <f t="shared" si="4"/>
        <v>0</v>
      </c>
      <c r="Q23" s="41">
        <f t="shared" si="10"/>
        <v>45748</v>
      </c>
      <c r="R23" s="41">
        <f>Q23+29</f>
        <v>45777</v>
      </c>
      <c r="S23" s="41">
        <f t="shared" si="5"/>
        <v>45748</v>
      </c>
      <c r="T23" s="41">
        <f t="shared" si="6"/>
        <v>45777</v>
      </c>
      <c r="U23" s="73">
        <f t="shared" ref="U23:U31" si="17">IF(S23=0,0,DAYS360(S23,T23,1)+1)</f>
        <v>30</v>
      </c>
      <c r="V23" s="73">
        <f t="shared" si="11"/>
        <v>120</v>
      </c>
      <c r="W23" s="67">
        <f t="shared" ref="W23:W33" si="18">IF(AA23&gt;AB23,AB23-Y22,AA23-Y22)</f>
        <v>0</v>
      </c>
      <c r="X23" s="67">
        <f t="shared" si="15"/>
        <v>0</v>
      </c>
      <c r="Y23" s="67">
        <f t="shared" si="12"/>
        <v>0</v>
      </c>
      <c r="Z23" s="67">
        <f t="shared" si="16"/>
        <v>0</v>
      </c>
      <c r="AA23" s="67">
        <f t="shared" si="13"/>
        <v>0</v>
      </c>
      <c r="AB23" s="67">
        <f t="shared" si="7"/>
        <v>49400</v>
      </c>
      <c r="AC23" s="67">
        <f t="shared" si="14"/>
        <v>33283933.000000004</v>
      </c>
    </row>
    <row r="24" spans="1:29" x14ac:dyDescent="0.3">
      <c r="A24" s="68">
        <v>38503</v>
      </c>
      <c r="B24" s="69"/>
      <c r="C24" s="69"/>
      <c r="D24" s="69"/>
      <c r="E24" s="69"/>
      <c r="F24" s="70">
        <f t="shared" si="0"/>
        <v>0</v>
      </c>
      <c r="G24" s="71">
        <f t="shared" si="8"/>
        <v>0</v>
      </c>
      <c r="H24" s="71">
        <f t="shared" si="1"/>
        <v>0</v>
      </c>
      <c r="I24" s="69"/>
      <c r="J24" s="71">
        <f t="shared" si="2"/>
        <v>0</v>
      </c>
      <c r="K24" s="71">
        <f t="shared" si="3"/>
        <v>0</v>
      </c>
      <c r="L24" s="69"/>
      <c r="M24" s="69"/>
      <c r="N24" s="71">
        <f t="shared" si="9"/>
        <v>0</v>
      </c>
      <c r="O24" s="69"/>
      <c r="P24" s="70">
        <f t="shared" si="4"/>
        <v>0</v>
      </c>
      <c r="Q24" s="41">
        <f t="shared" si="10"/>
        <v>45778</v>
      </c>
      <c r="R24" s="41">
        <f>Q24+30</f>
        <v>45808</v>
      </c>
      <c r="S24" s="41">
        <f t="shared" si="5"/>
        <v>45778</v>
      </c>
      <c r="T24" s="41">
        <f t="shared" si="6"/>
        <v>45808</v>
      </c>
      <c r="U24" s="73">
        <f t="shared" si="17"/>
        <v>30</v>
      </c>
      <c r="V24" s="73">
        <f t="shared" si="11"/>
        <v>150</v>
      </c>
      <c r="W24" s="67">
        <f t="shared" si="18"/>
        <v>0</v>
      </c>
      <c r="X24" s="67">
        <f t="shared" si="15"/>
        <v>0</v>
      </c>
      <c r="Y24" s="67">
        <f t="shared" si="12"/>
        <v>0</v>
      </c>
      <c r="Z24" s="67">
        <f t="shared" si="16"/>
        <v>0</v>
      </c>
      <c r="AA24" s="67">
        <f t="shared" si="13"/>
        <v>0</v>
      </c>
      <c r="AB24" s="67">
        <f t="shared" si="7"/>
        <v>61750</v>
      </c>
      <c r="AC24" s="67">
        <f t="shared" si="14"/>
        <v>41604916.25</v>
      </c>
    </row>
    <row r="25" spans="1:29" x14ac:dyDescent="0.3">
      <c r="A25" s="68">
        <v>38533</v>
      </c>
      <c r="B25" s="69"/>
      <c r="C25" s="69"/>
      <c r="D25" s="69"/>
      <c r="E25" s="69"/>
      <c r="F25" s="70">
        <f t="shared" si="0"/>
        <v>0</v>
      </c>
      <c r="G25" s="71">
        <f t="shared" si="8"/>
        <v>0</v>
      </c>
      <c r="H25" s="71">
        <f t="shared" si="1"/>
        <v>0</v>
      </c>
      <c r="I25" s="69"/>
      <c r="J25" s="71">
        <f t="shared" si="2"/>
        <v>0</v>
      </c>
      <c r="K25" s="71">
        <f t="shared" si="3"/>
        <v>0</v>
      </c>
      <c r="L25" s="69"/>
      <c r="M25" s="69"/>
      <c r="N25" s="71">
        <f t="shared" si="9"/>
        <v>0</v>
      </c>
      <c r="O25" s="69"/>
      <c r="P25" s="70">
        <f t="shared" si="4"/>
        <v>0</v>
      </c>
      <c r="Q25" s="41">
        <f t="shared" si="10"/>
        <v>45809</v>
      </c>
      <c r="R25" s="41">
        <f>Q25+29</f>
        <v>45838</v>
      </c>
      <c r="S25" s="41">
        <f t="shared" si="5"/>
        <v>45809</v>
      </c>
      <c r="T25" s="41">
        <f t="shared" si="6"/>
        <v>45838</v>
      </c>
      <c r="U25" s="73">
        <f t="shared" si="17"/>
        <v>30</v>
      </c>
      <c r="V25" s="73">
        <f t="shared" si="11"/>
        <v>180</v>
      </c>
      <c r="W25" s="67">
        <f t="shared" si="18"/>
        <v>0</v>
      </c>
      <c r="X25" s="67">
        <f t="shared" si="15"/>
        <v>0</v>
      </c>
      <c r="Y25" s="67">
        <f t="shared" si="12"/>
        <v>0</v>
      </c>
      <c r="Z25" s="67">
        <f t="shared" si="16"/>
        <v>0</v>
      </c>
      <c r="AA25" s="67">
        <f t="shared" si="13"/>
        <v>0</v>
      </c>
      <c r="AB25" s="67">
        <f t="shared" si="7"/>
        <v>74100</v>
      </c>
      <c r="AC25" s="67">
        <f t="shared" si="14"/>
        <v>49925899.500000007</v>
      </c>
    </row>
    <row r="26" spans="1:29" x14ac:dyDescent="0.3">
      <c r="A26" s="68">
        <v>38564</v>
      </c>
      <c r="B26" s="69"/>
      <c r="C26" s="69"/>
      <c r="D26" s="69"/>
      <c r="E26" s="69"/>
      <c r="F26" s="70">
        <f t="shared" si="0"/>
        <v>0</v>
      </c>
      <c r="G26" s="71">
        <f t="shared" si="8"/>
        <v>0</v>
      </c>
      <c r="H26" s="71">
        <f t="shared" si="1"/>
        <v>0</v>
      </c>
      <c r="I26" s="69"/>
      <c r="J26" s="71">
        <f t="shared" si="2"/>
        <v>0</v>
      </c>
      <c r="K26" s="71">
        <f t="shared" si="3"/>
        <v>0</v>
      </c>
      <c r="L26" s="69"/>
      <c r="M26" s="69"/>
      <c r="N26" s="71">
        <f t="shared" si="9"/>
        <v>0</v>
      </c>
      <c r="O26" s="69"/>
      <c r="P26" s="70">
        <f t="shared" si="4"/>
        <v>0</v>
      </c>
      <c r="Q26" s="41">
        <f t="shared" si="10"/>
        <v>45839</v>
      </c>
      <c r="R26" s="41">
        <f>Q26+30</f>
        <v>45869</v>
      </c>
      <c r="S26" s="41">
        <f t="shared" si="5"/>
        <v>45839</v>
      </c>
      <c r="T26" s="41">
        <f t="shared" si="6"/>
        <v>45869</v>
      </c>
      <c r="U26" s="73">
        <f t="shared" si="17"/>
        <v>30</v>
      </c>
      <c r="V26" s="73">
        <f t="shared" si="11"/>
        <v>210</v>
      </c>
      <c r="W26" s="67">
        <f t="shared" si="18"/>
        <v>0</v>
      </c>
      <c r="X26" s="67">
        <f t="shared" si="15"/>
        <v>0</v>
      </c>
      <c r="Y26" s="67">
        <f t="shared" si="12"/>
        <v>0</v>
      </c>
      <c r="Z26" s="67">
        <f t="shared" si="16"/>
        <v>0</v>
      </c>
      <c r="AA26" s="67">
        <f t="shared" si="13"/>
        <v>0</v>
      </c>
      <c r="AB26" s="67">
        <f t="shared" si="7"/>
        <v>86450</v>
      </c>
      <c r="AC26" s="67">
        <f t="shared" si="14"/>
        <v>58246882.750000007</v>
      </c>
    </row>
    <row r="27" spans="1:29" x14ac:dyDescent="0.3">
      <c r="A27" s="68">
        <v>38595</v>
      </c>
      <c r="B27" s="69"/>
      <c r="C27" s="69"/>
      <c r="D27" s="69"/>
      <c r="E27" s="69"/>
      <c r="F27" s="70">
        <f t="shared" si="0"/>
        <v>0</v>
      </c>
      <c r="G27" s="71">
        <f t="shared" si="8"/>
        <v>0</v>
      </c>
      <c r="H27" s="71">
        <f t="shared" si="1"/>
        <v>0</v>
      </c>
      <c r="I27" s="69"/>
      <c r="J27" s="71">
        <f t="shared" si="2"/>
        <v>0</v>
      </c>
      <c r="K27" s="71">
        <f t="shared" si="3"/>
        <v>0</v>
      </c>
      <c r="L27" s="69"/>
      <c r="M27" s="69"/>
      <c r="N27" s="71">
        <f t="shared" si="9"/>
        <v>0</v>
      </c>
      <c r="O27" s="69"/>
      <c r="P27" s="70">
        <f t="shared" si="4"/>
        <v>0</v>
      </c>
      <c r="Q27" s="41">
        <f t="shared" si="10"/>
        <v>45870</v>
      </c>
      <c r="R27" s="41">
        <f>Q27+30</f>
        <v>45900</v>
      </c>
      <c r="S27" s="41">
        <f t="shared" si="5"/>
        <v>45870</v>
      </c>
      <c r="T27" s="41">
        <f t="shared" si="6"/>
        <v>45900</v>
      </c>
      <c r="U27" s="73">
        <f t="shared" si="17"/>
        <v>30</v>
      </c>
      <c r="V27" s="73">
        <f t="shared" si="11"/>
        <v>240</v>
      </c>
      <c r="W27" s="67">
        <f t="shared" si="18"/>
        <v>0</v>
      </c>
      <c r="X27" s="67">
        <f t="shared" si="15"/>
        <v>0</v>
      </c>
      <c r="Y27" s="67">
        <f t="shared" si="12"/>
        <v>0</v>
      </c>
      <c r="Z27" s="67">
        <f t="shared" si="16"/>
        <v>0</v>
      </c>
      <c r="AA27" s="67">
        <f t="shared" si="13"/>
        <v>0</v>
      </c>
      <c r="AB27" s="67">
        <f t="shared" si="7"/>
        <v>98800</v>
      </c>
      <c r="AC27" s="67">
        <f t="shared" si="14"/>
        <v>66567866.000000007</v>
      </c>
    </row>
    <row r="28" spans="1:29" x14ac:dyDescent="0.3">
      <c r="A28" s="68">
        <v>38625</v>
      </c>
      <c r="B28" s="69"/>
      <c r="C28" s="69"/>
      <c r="D28" s="69"/>
      <c r="E28" s="69"/>
      <c r="F28" s="70">
        <f t="shared" si="0"/>
        <v>0</v>
      </c>
      <c r="G28" s="71">
        <f t="shared" si="8"/>
        <v>0</v>
      </c>
      <c r="H28" s="71">
        <f t="shared" si="1"/>
        <v>0</v>
      </c>
      <c r="I28" s="69"/>
      <c r="J28" s="71">
        <f t="shared" si="2"/>
        <v>0</v>
      </c>
      <c r="K28" s="71">
        <f t="shared" si="3"/>
        <v>0</v>
      </c>
      <c r="L28" s="69"/>
      <c r="M28" s="69"/>
      <c r="N28" s="71">
        <f t="shared" si="9"/>
        <v>0</v>
      </c>
      <c r="O28" s="69"/>
      <c r="P28" s="70">
        <f t="shared" si="4"/>
        <v>0</v>
      </c>
      <c r="Q28" s="41">
        <f t="shared" si="10"/>
        <v>45901</v>
      </c>
      <c r="R28" s="41">
        <f>Q28+29</f>
        <v>45930</v>
      </c>
      <c r="S28" s="41">
        <f t="shared" si="5"/>
        <v>45901</v>
      </c>
      <c r="T28" s="41">
        <f t="shared" si="6"/>
        <v>45930</v>
      </c>
      <c r="U28" s="73">
        <f t="shared" si="17"/>
        <v>30</v>
      </c>
      <c r="V28" s="73">
        <f t="shared" si="11"/>
        <v>270</v>
      </c>
      <c r="W28" s="67">
        <f t="shared" si="18"/>
        <v>0</v>
      </c>
      <c r="X28" s="67">
        <f t="shared" si="15"/>
        <v>0</v>
      </c>
      <c r="Y28" s="67">
        <f t="shared" si="12"/>
        <v>0</v>
      </c>
      <c r="Z28" s="67">
        <f t="shared" si="16"/>
        <v>0</v>
      </c>
      <c r="AA28" s="67">
        <f t="shared" si="13"/>
        <v>0</v>
      </c>
      <c r="AB28" s="67">
        <f t="shared" si="7"/>
        <v>111150</v>
      </c>
      <c r="AC28" s="67">
        <f t="shared" si="14"/>
        <v>74888849.25</v>
      </c>
    </row>
    <row r="29" spans="1:29" x14ac:dyDescent="0.3">
      <c r="A29" s="68">
        <v>38656</v>
      </c>
      <c r="B29" s="69"/>
      <c r="C29" s="69"/>
      <c r="D29" s="69"/>
      <c r="E29" s="69"/>
      <c r="F29" s="70">
        <f t="shared" si="0"/>
        <v>0</v>
      </c>
      <c r="G29" s="71">
        <f t="shared" si="8"/>
        <v>0</v>
      </c>
      <c r="H29" s="71">
        <f t="shared" si="1"/>
        <v>0</v>
      </c>
      <c r="I29" s="69"/>
      <c r="J29" s="71">
        <f t="shared" si="2"/>
        <v>0</v>
      </c>
      <c r="K29" s="71">
        <f t="shared" si="3"/>
        <v>0</v>
      </c>
      <c r="L29" s="69"/>
      <c r="M29" s="69"/>
      <c r="N29" s="71">
        <f t="shared" si="9"/>
        <v>0</v>
      </c>
      <c r="O29" s="69"/>
      <c r="P29" s="70">
        <f t="shared" si="4"/>
        <v>0</v>
      </c>
      <c r="Q29" s="41">
        <f t="shared" si="10"/>
        <v>45931</v>
      </c>
      <c r="R29" s="41">
        <f>Q29+30</f>
        <v>45961</v>
      </c>
      <c r="S29" s="41">
        <f t="shared" si="5"/>
        <v>45931</v>
      </c>
      <c r="T29" s="41">
        <f t="shared" si="6"/>
        <v>45961</v>
      </c>
      <c r="U29" s="73">
        <f t="shared" si="17"/>
        <v>30</v>
      </c>
      <c r="V29" s="73">
        <f t="shared" si="11"/>
        <v>300</v>
      </c>
      <c r="W29" s="67">
        <f t="shared" si="18"/>
        <v>0</v>
      </c>
      <c r="X29" s="67">
        <f t="shared" si="15"/>
        <v>0</v>
      </c>
      <c r="Y29" s="67">
        <f t="shared" si="12"/>
        <v>0</v>
      </c>
      <c r="Z29" s="67">
        <f t="shared" si="16"/>
        <v>0</v>
      </c>
      <c r="AA29" s="67">
        <f t="shared" si="13"/>
        <v>0</v>
      </c>
      <c r="AB29" s="67">
        <f t="shared" si="7"/>
        <v>123500</v>
      </c>
      <c r="AC29" s="67">
        <f t="shared" si="14"/>
        <v>83209832.5</v>
      </c>
    </row>
    <row r="30" spans="1:29" x14ac:dyDescent="0.3">
      <c r="A30" s="68">
        <v>38686</v>
      </c>
      <c r="B30" s="69"/>
      <c r="C30" s="69"/>
      <c r="D30" s="69"/>
      <c r="E30" s="69"/>
      <c r="F30" s="70">
        <f t="shared" si="0"/>
        <v>0</v>
      </c>
      <c r="G30" s="71">
        <f t="shared" si="8"/>
        <v>0</v>
      </c>
      <c r="H30" s="71">
        <f t="shared" si="1"/>
        <v>0</v>
      </c>
      <c r="I30" s="69"/>
      <c r="J30" s="71">
        <f t="shared" si="2"/>
        <v>0</v>
      </c>
      <c r="K30" s="71">
        <f t="shared" si="3"/>
        <v>0</v>
      </c>
      <c r="L30" s="69"/>
      <c r="M30" s="69"/>
      <c r="N30" s="71">
        <f t="shared" si="9"/>
        <v>0</v>
      </c>
      <c r="O30" s="69"/>
      <c r="P30" s="70">
        <f t="shared" si="4"/>
        <v>0</v>
      </c>
      <c r="Q30" s="41">
        <f t="shared" si="10"/>
        <v>45962</v>
      </c>
      <c r="R30" s="41">
        <f>Q30+29</f>
        <v>45991</v>
      </c>
      <c r="S30" s="41">
        <f t="shared" si="5"/>
        <v>45962</v>
      </c>
      <c r="T30" s="41">
        <f t="shared" si="6"/>
        <v>45991</v>
      </c>
      <c r="U30" s="73">
        <f t="shared" si="17"/>
        <v>30</v>
      </c>
      <c r="V30" s="73">
        <f t="shared" si="11"/>
        <v>330</v>
      </c>
      <c r="W30" s="67">
        <f t="shared" si="18"/>
        <v>0</v>
      </c>
      <c r="X30" s="67">
        <f t="shared" si="15"/>
        <v>0</v>
      </c>
      <c r="Y30" s="67">
        <f t="shared" si="12"/>
        <v>0</v>
      </c>
      <c r="Z30" s="67">
        <f t="shared" si="16"/>
        <v>0</v>
      </c>
      <c r="AA30" s="67">
        <f t="shared" si="13"/>
        <v>0</v>
      </c>
      <c r="AB30" s="67">
        <f t="shared" si="7"/>
        <v>135850</v>
      </c>
      <c r="AC30" s="67">
        <f t="shared" si="14"/>
        <v>91530815.750000015</v>
      </c>
    </row>
    <row r="31" spans="1:29" x14ac:dyDescent="0.3">
      <c r="A31" s="68">
        <v>38717</v>
      </c>
      <c r="B31" s="69"/>
      <c r="C31" s="69"/>
      <c r="D31" s="69"/>
      <c r="E31" s="69"/>
      <c r="F31" s="70">
        <f t="shared" si="0"/>
        <v>0</v>
      </c>
      <c r="G31" s="71">
        <f t="shared" si="8"/>
        <v>0</v>
      </c>
      <c r="H31" s="71">
        <f t="shared" si="1"/>
        <v>0</v>
      </c>
      <c r="I31" s="69"/>
      <c r="J31" s="71">
        <f t="shared" si="2"/>
        <v>0</v>
      </c>
      <c r="K31" s="71">
        <f t="shared" si="3"/>
        <v>0</v>
      </c>
      <c r="L31" s="69"/>
      <c r="M31" s="69"/>
      <c r="N31" s="71">
        <f t="shared" si="9"/>
        <v>0</v>
      </c>
      <c r="O31" s="69"/>
      <c r="P31" s="70">
        <f t="shared" si="4"/>
        <v>0</v>
      </c>
      <c r="Q31" s="41">
        <f t="shared" si="10"/>
        <v>45992</v>
      </c>
      <c r="R31" s="41">
        <f>Q31+30</f>
        <v>46022</v>
      </c>
      <c r="S31" s="41">
        <f t="shared" si="5"/>
        <v>45992</v>
      </c>
      <c r="T31" s="41">
        <f t="shared" si="6"/>
        <v>46022</v>
      </c>
      <c r="U31" s="73">
        <f t="shared" si="17"/>
        <v>30</v>
      </c>
      <c r="V31" s="73">
        <f t="shared" si="11"/>
        <v>360</v>
      </c>
      <c r="W31" s="67">
        <f t="shared" si="18"/>
        <v>0</v>
      </c>
      <c r="X31" s="67">
        <f t="shared" si="15"/>
        <v>0</v>
      </c>
      <c r="Y31" s="67">
        <f t="shared" si="12"/>
        <v>0</v>
      </c>
      <c r="Z31" s="67">
        <f t="shared" si="16"/>
        <v>0</v>
      </c>
      <c r="AA31" s="67">
        <f t="shared" si="13"/>
        <v>0</v>
      </c>
      <c r="AB31" s="67">
        <f t="shared" si="7"/>
        <v>148200</v>
      </c>
      <c r="AC31" s="67">
        <f t="shared" si="14"/>
        <v>99851799.000000015</v>
      </c>
    </row>
    <row r="32" spans="1:29" x14ac:dyDescent="0.3">
      <c r="A32" s="74" t="s">
        <v>20</v>
      </c>
      <c r="B32" s="69"/>
      <c r="C32" s="69"/>
      <c r="D32" s="69"/>
      <c r="E32" s="69"/>
      <c r="F32" s="70">
        <f t="shared" si="0"/>
        <v>0</v>
      </c>
      <c r="G32" s="71">
        <f t="shared" si="8"/>
        <v>0</v>
      </c>
      <c r="H32" s="71">
        <f t="shared" si="1"/>
        <v>0</v>
      </c>
      <c r="I32" s="69"/>
      <c r="J32" s="71">
        <f t="shared" si="2"/>
        <v>0</v>
      </c>
      <c r="K32" s="71">
        <f t="shared" si="3"/>
        <v>0</v>
      </c>
      <c r="L32" s="69"/>
      <c r="M32" s="69"/>
      <c r="N32" s="71">
        <f t="shared" si="9"/>
        <v>0</v>
      </c>
      <c r="O32" s="69"/>
      <c r="P32" s="70">
        <f t="shared" si="4"/>
        <v>0</v>
      </c>
      <c r="Q32" s="41"/>
      <c r="R32" s="41"/>
      <c r="U32" s="73">
        <f>IF(S32=0,0,DAYS360(S32,T32,1)+1)</f>
        <v>0</v>
      </c>
      <c r="V32" s="73">
        <f t="shared" si="11"/>
        <v>360</v>
      </c>
      <c r="W32" s="67">
        <f t="shared" si="18"/>
        <v>0</v>
      </c>
      <c r="X32" s="67">
        <f t="shared" si="15"/>
        <v>0</v>
      </c>
      <c r="Y32" s="67">
        <f t="shared" si="12"/>
        <v>0</v>
      </c>
      <c r="Z32" s="67">
        <f t="shared" si="16"/>
        <v>0</v>
      </c>
      <c r="AA32" s="67">
        <f t="shared" si="13"/>
        <v>0</v>
      </c>
      <c r="AB32" s="67">
        <f t="shared" si="7"/>
        <v>148200</v>
      </c>
      <c r="AC32" s="67">
        <f t="shared" si="14"/>
        <v>99851799.000000015</v>
      </c>
    </row>
    <row r="33" spans="1:29" x14ac:dyDescent="0.3">
      <c r="A33" s="75" t="s">
        <v>21</v>
      </c>
      <c r="B33" s="69"/>
      <c r="C33" s="69"/>
      <c r="D33" s="69"/>
      <c r="E33" s="69"/>
      <c r="F33" s="70">
        <f t="shared" si="0"/>
        <v>0</v>
      </c>
      <c r="G33" s="71">
        <f t="shared" si="8"/>
        <v>0</v>
      </c>
      <c r="H33" s="71">
        <f t="shared" si="1"/>
        <v>0</v>
      </c>
      <c r="I33" s="69"/>
      <c r="J33" s="71">
        <f t="shared" si="2"/>
        <v>0</v>
      </c>
      <c r="K33" s="71">
        <f t="shared" si="3"/>
        <v>0</v>
      </c>
      <c r="L33" s="69"/>
      <c r="M33" s="69"/>
      <c r="N33" s="71">
        <f t="shared" si="9"/>
        <v>0</v>
      </c>
      <c r="O33" s="69"/>
      <c r="P33" s="70">
        <f t="shared" si="4"/>
        <v>0</v>
      </c>
      <c r="Q33" s="41"/>
      <c r="R33" s="41"/>
      <c r="U33" s="73">
        <f>IF(S33=0,0,DAYS360(S33,T33,1)+1)</f>
        <v>0</v>
      </c>
      <c r="V33" s="73">
        <f t="shared" si="11"/>
        <v>360</v>
      </c>
      <c r="W33" s="67">
        <f t="shared" si="18"/>
        <v>0</v>
      </c>
      <c r="X33" s="67">
        <f t="shared" si="15"/>
        <v>0</v>
      </c>
      <c r="Y33" s="67">
        <f t="shared" si="12"/>
        <v>0</v>
      </c>
      <c r="Z33" s="67">
        <f t="shared" si="16"/>
        <v>0</v>
      </c>
      <c r="AA33" s="67">
        <f t="shared" si="13"/>
        <v>0</v>
      </c>
      <c r="AB33" s="67">
        <f t="shared" si="7"/>
        <v>148200</v>
      </c>
      <c r="AC33" s="67">
        <f t="shared" si="14"/>
        <v>99851799.000000015</v>
      </c>
    </row>
    <row r="34" spans="1:29" s="16" customFormat="1" x14ac:dyDescent="0.3">
      <c r="A34" s="63"/>
      <c r="B34" s="63"/>
      <c r="C34" s="63"/>
      <c r="D34" s="63"/>
      <c r="E34" s="63"/>
      <c r="F34" s="63"/>
      <c r="G34" s="66"/>
      <c r="H34" s="66"/>
      <c r="I34" s="63"/>
      <c r="J34" s="66"/>
      <c r="K34" s="66"/>
      <c r="L34" s="66"/>
      <c r="M34" s="66"/>
      <c r="N34" s="63"/>
      <c r="O34" s="63"/>
      <c r="P34" s="63"/>
      <c r="U34" s="76"/>
      <c r="V34" s="76"/>
      <c r="W34" s="76"/>
      <c r="X34" s="76"/>
      <c r="Y34" s="76"/>
      <c r="Z34" s="67"/>
    </row>
    <row r="35" spans="1:29" s="26" customFormat="1" ht="17.25" thickBot="1" x14ac:dyDescent="0.35">
      <c r="A35" s="77" t="s">
        <v>0</v>
      </c>
      <c r="B35" s="78">
        <f>SUM(B20:B33)</f>
        <v>0</v>
      </c>
      <c r="C35" s="78">
        <f t="shared" ref="C35:P35" si="19">SUM(C20:C33)</f>
        <v>0</v>
      </c>
      <c r="D35" s="78">
        <f t="shared" si="19"/>
        <v>0</v>
      </c>
      <c r="E35" s="78">
        <f t="shared" si="19"/>
        <v>0</v>
      </c>
      <c r="F35" s="78">
        <f t="shared" si="19"/>
        <v>0</v>
      </c>
      <c r="G35" s="78">
        <f t="shared" si="19"/>
        <v>0</v>
      </c>
      <c r="H35" s="78">
        <f t="shared" si="19"/>
        <v>0</v>
      </c>
      <c r="I35" s="78">
        <f t="shared" si="19"/>
        <v>0</v>
      </c>
      <c r="J35" s="78">
        <f t="shared" si="19"/>
        <v>0</v>
      </c>
      <c r="K35" s="78">
        <f t="shared" si="19"/>
        <v>0</v>
      </c>
      <c r="L35" s="78">
        <f t="shared" si="19"/>
        <v>0</v>
      </c>
      <c r="M35" s="78">
        <f t="shared" si="19"/>
        <v>0</v>
      </c>
      <c r="N35" s="78">
        <f t="shared" si="19"/>
        <v>0</v>
      </c>
      <c r="O35" s="78">
        <f t="shared" si="19"/>
        <v>0</v>
      </c>
      <c r="P35" s="78">
        <f t="shared" si="19"/>
        <v>0</v>
      </c>
      <c r="Q35" s="79"/>
      <c r="U35" s="80">
        <f>SUM(U20:U34)</f>
        <v>360</v>
      </c>
      <c r="V35" s="80"/>
      <c r="W35" s="67">
        <f>SUM(W20:W31)</f>
        <v>0</v>
      </c>
      <c r="X35" s="67">
        <f>SUM(X20:X31)</f>
        <v>0</v>
      </c>
      <c r="Y35" s="80"/>
      <c r="Z35" s="80"/>
    </row>
    <row r="36" spans="1:29" s="81" customFormat="1" ht="15.75" customHeight="1" thickTop="1" x14ac:dyDescent="0.15">
      <c r="B36" s="82"/>
      <c r="C36" s="82"/>
      <c r="D36" s="82"/>
      <c r="E36" s="82"/>
      <c r="F36" s="98" t="str">
        <f>IF(H36="","","Total AHV+ALV:")</f>
        <v/>
      </c>
      <c r="G36" s="98"/>
      <c r="H36" s="139" t="str">
        <f>IF(G35=0,"",G35+H35)</f>
        <v/>
      </c>
      <c r="I36" s="98" t="str">
        <f>IF(H36="","","Total AHV+ALV+NBU:")</f>
        <v/>
      </c>
      <c r="J36" s="98"/>
      <c r="K36" s="98"/>
      <c r="L36" s="139" t="str">
        <f>IF(G35=0,"",H36+J35)</f>
        <v/>
      </c>
      <c r="M36" s="82"/>
      <c r="N36" s="82"/>
      <c r="O36" s="82"/>
      <c r="P36" s="82"/>
      <c r="Q36" s="82"/>
      <c r="R36" s="82"/>
      <c r="V36" s="83"/>
      <c r="W36" s="83"/>
      <c r="X36" s="83"/>
      <c r="Y36" s="83"/>
      <c r="Z36" s="83"/>
      <c r="AA36" s="83"/>
    </row>
    <row r="37" spans="1:29" x14ac:dyDescent="0.3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29" x14ac:dyDescent="0.3">
      <c r="A38" s="26" t="s">
        <v>35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1:29" x14ac:dyDescent="0.3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28"/>
      <c r="R39" s="27"/>
      <c r="S39" s="41">
        <f>R31+1</f>
        <v>46023</v>
      </c>
    </row>
    <row r="40" spans="1:29" x14ac:dyDescent="0.3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28"/>
      <c r="R40" s="27"/>
    </row>
    <row r="41" spans="1:29" x14ac:dyDescent="0.3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28"/>
      <c r="R41" s="27"/>
    </row>
    <row r="42" spans="1:29" x14ac:dyDescent="0.3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28"/>
      <c r="R42" s="27"/>
    </row>
    <row r="43" spans="1:29" x14ac:dyDescent="0.3">
      <c r="A43" s="113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88"/>
      <c r="R43" s="27"/>
    </row>
    <row r="44" spans="1:29" x14ac:dyDescent="0.3">
      <c r="A44" s="113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28"/>
    </row>
    <row r="45" spans="1:29" x14ac:dyDescent="0.3">
      <c r="A45" s="113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28"/>
    </row>
    <row r="46" spans="1:29" x14ac:dyDescent="0.3">
      <c r="A46" s="113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28"/>
    </row>
    <row r="47" spans="1:29" x14ac:dyDescent="0.3">
      <c r="A47" s="113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28"/>
    </row>
    <row r="48" spans="1:29" x14ac:dyDescent="0.3">
      <c r="Q48" s="28"/>
    </row>
    <row r="50" spans="1:18" x14ac:dyDescent="0.3">
      <c r="A50" s="26"/>
      <c r="Q50" s="30"/>
    </row>
    <row r="51" spans="1:18" x14ac:dyDescent="0.3">
      <c r="A51" s="29"/>
      <c r="H51" s="84"/>
      <c r="Q51" s="30"/>
    </row>
    <row r="52" spans="1:18" x14ac:dyDescent="0.3">
      <c r="A52" s="31"/>
      <c r="Q52" s="85"/>
    </row>
    <row r="54" spans="1:18" x14ac:dyDescent="0.3">
      <c r="A54" s="26" t="s">
        <v>36</v>
      </c>
      <c r="Q54" s="27"/>
    </row>
    <row r="55" spans="1:18" x14ac:dyDescent="0.3">
      <c r="A55" s="113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28"/>
    </row>
    <row r="56" spans="1:18" s="1" customFormat="1" x14ac:dyDescent="0.3">
      <c r="A56" s="113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28"/>
    </row>
    <row r="57" spans="1:18" s="1" customFormat="1" x14ac:dyDescent="0.3">
      <c r="A57" s="113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28"/>
    </row>
    <row r="58" spans="1:18" x14ac:dyDescent="0.3">
      <c r="A58" s="113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28"/>
      <c r="R58" s="28"/>
    </row>
    <row r="59" spans="1:18" s="1" customFormat="1" x14ac:dyDescent="0.3">
      <c r="A59" s="113"/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28"/>
      <c r="R59" s="28"/>
    </row>
    <row r="60" spans="1:18" s="1" customFormat="1" x14ac:dyDescent="0.3">
      <c r="A60" s="113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28"/>
      <c r="R60" s="28"/>
    </row>
    <row r="61" spans="1:18" x14ac:dyDescent="0.3">
      <c r="A61" s="113"/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28"/>
      <c r="R61" s="28"/>
    </row>
    <row r="62" spans="1:18" s="1" customFormat="1" x14ac:dyDescent="0.3">
      <c r="A62" s="113"/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28"/>
      <c r="R62" s="28"/>
    </row>
    <row r="63" spans="1:18" s="1" customFormat="1" x14ac:dyDescent="0.3">
      <c r="A63" s="113"/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28"/>
      <c r="R63" s="28"/>
    </row>
    <row r="64" spans="1:18" x14ac:dyDescent="0.3">
      <c r="A64" s="113"/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28"/>
      <c r="R64" s="28"/>
    </row>
    <row r="65" spans="1:18" s="1" customFormat="1" x14ac:dyDescent="0.3">
      <c r="A65" s="113"/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28"/>
      <c r="R65" s="28"/>
    </row>
    <row r="66" spans="1:18" s="1" customFormat="1" x14ac:dyDescent="0.3">
      <c r="A66" s="113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28"/>
      <c r="R66" s="28"/>
    </row>
    <row r="67" spans="1:18" s="1" customFormat="1" x14ac:dyDescent="0.3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</row>
    <row r="68" spans="1:18" s="1" customFormat="1" x14ac:dyDescent="0.3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x14ac:dyDescent="0.3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</row>
    <row r="70" spans="1:18" x14ac:dyDescent="0.3">
      <c r="R70" s="28"/>
    </row>
  </sheetData>
  <sheetProtection algorithmName="SHA-512" hashValue="IupWhMfn8crhuU286EeC4pme9a+rN2fHdwh5sefKFxJ9mORcjHnN6v6LycqMNpC5DIYXiHR3aouIbGh0FEQ49g==" saltValue="onU5LR/SEYCbvCdiQaNenw==" spinCount="100000" sheet="1" objects="1" scenarios="1"/>
  <mergeCells count="52">
    <mergeCell ref="H4:I4"/>
    <mergeCell ref="C5:E5"/>
    <mergeCell ref="H5:I5"/>
    <mergeCell ref="C6:E6"/>
    <mergeCell ref="C4:E4"/>
    <mergeCell ref="A41:P41"/>
    <mergeCell ref="C7:E7"/>
    <mergeCell ref="C10:D10"/>
    <mergeCell ref="M16:M17"/>
    <mergeCell ref="C9:D9"/>
    <mergeCell ref="C12:D12"/>
    <mergeCell ref="D15:G15"/>
    <mergeCell ref="D16:D18"/>
    <mergeCell ref="E16:E18"/>
    <mergeCell ref="F16:F18"/>
    <mergeCell ref="K16:K17"/>
    <mergeCell ref="C16:C18"/>
    <mergeCell ref="J16:J17"/>
    <mergeCell ref="G16:G17"/>
    <mergeCell ref="I16:I18"/>
    <mergeCell ref="H16:H17"/>
    <mergeCell ref="H10:L10"/>
    <mergeCell ref="F36:G36"/>
    <mergeCell ref="I36:K36"/>
    <mergeCell ref="A39:P39"/>
    <mergeCell ref="A40:P40"/>
    <mergeCell ref="L16:L17"/>
    <mergeCell ref="S17:T17"/>
    <mergeCell ref="Q17:R17"/>
    <mergeCell ref="A16:A18"/>
    <mergeCell ref="B16:B18"/>
    <mergeCell ref="N16:N18"/>
    <mergeCell ref="P16:P18"/>
    <mergeCell ref="O16:O18"/>
    <mergeCell ref="A42:P42"/>
    <mergeCell ref="A43:P43"/>
    <mergeCell ref="A47:P47"/>
    <mergeCell ref="A55:P55"/>
    <mergeCell ref="A56:P56"/>
    <mergeCell ref="A44:P44"/>
    <mergeCell ref="A45:P45"/>
    <mergeCell ref="A46:P46"/>
    <mergeCell ref="A57:P57"/>
    <mergeCell ref="A58:P58"/>
    <mergeCell ref="A64:P64"/>
    <mergeCell ref="A65:P65"/>
    <mergeCell ref="A66:P66"/>
    <mergeCell ref="A59:P59"/>
    <mergeCell ref="A60:P60"/>
    <mergeCell ref="A61:P61"/>
    <mergeCell ref="A62:P62"/>
    <mergeCell ref="A63:P63"/>
  </mergeCells>
  <phoneticPr fontId="0" type="noConversion"/>
  <dataValidations count="1">
    <dataValidation type="textLength" operator="equal" allowBlank="1" showInputMessage="1" showErrorMessage="1" errorTitle="Bitte korrigieren:" error="m = männlich_x000a_w = weiblich" sqref="I7" xr:uid="{00000000-0002-0000-0900-000000000000}">
      <formula1>1</formula1>
    </dataValidation>
  </dataValidations>
  <printOptions horizontalCentered="1"/>
  <pageMargins left="1.0629921259842521" right="0.78740157480314965" top="0.59055118110236227" bottom="0.59055118110236227" header="0.51181102362204722" footer="0.31496062992125984"/>
  <pageSetup paperSize="9" scale="63" orientation="landscape" r:id="rId1"/>
  <headerFooter>
    <oddFooter>&amp;L&amp;G&amp;C&amp;"Segoe UI Semilight,Standard"&amp;K1D71B8Bern | Biel/Bienne&amp;R&amp;"Segoe UI Semilight,Standard"&amp;K1D71B8strasser-ag.ch</oddFooter>
  </headerFooter>
  <legacy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AD70"/>
  <sheetViews>
    <sheetView showGridLines="0" zoomScale="90" zoomScaleNormal="90" workbookViewId="0">
      <selection activeCell="B20" sqref="B20"/>
    </sheetView>
  </sheetViews>
  <sheetFormatPr baseColWidth="10" defaultColWidth="11.28515625" defaultRowHeight="16.5" x14ac:dyDescent="0.3"/>
  <cols>
    <col min="1" max="1" width="16" style="25" customWidth="1"/>
    <col min="2" max="15" width="12.140625" style="25" customWidth="1"/>
    <col min="16" max="16" width="11.85546875" style="25" bestFit="1" customWidth="1"/>
    <col min="17" max="17" width="10.7109375" style="25" hidden="1" customWidth="1"/>
    <col min="18" max="18" width="11" style="25" hidden="1" customWidth="1"/>
    <col min="19" max="19" width="10.7109375" style="25" hidden="1" customWidth="1"/>
    <col min="20" max="20" width="11" style="25" hidden="1" customWidth="1"/>
    <col min="21" max="21" width="14.85546875" style="25" hidden="1" customWidth="1"/>
    <col min="22" max="22" width="14.28515625" style="25" hidden="1" customWidth="1"/>
    <col min="23" max="23" width="7.85546875" style="25" hidden="1" customWidth="1"/>
    <col min="24" max="24" width="9.85546875" style="25" hidden="1" customWidth="1"/>
    <col min="25" max="25" width="12.7109375" style="25" hidden="1" customWidth="1"/>
    <col min="26" max="26" width="14" style="25" hidden="1" customWidth="1"/>
    <col min="27" max="27" width="17.5703125" style="25" hidden="1" customWidth="1"/>
    <col min="28" max="28" width="11.5703125" style="25" hidden="1" customWidth="1"/>
    <col min="29" max="30" width="14.28515625" style="25" hidden="1" customWidth="1"/>
    <col min="31" max="31" width="11.28515625" style="25" customWidth="1"/>
    <col min="32" max="16384" width="11.28515625" style="25"/>
  </cols>
  <sheetData>
    <row r="1" spans="1:18" s="34" customFormat="1" ht="20.25" x14ac:dyDescent="0.35">
      <c r="A1" s="32" t="s">
        <v>42</v>
      </c>
      <c r="B1" s="33">
        <f>Jahr</f>
        <v>2025</v>
      </c>
      <c r="P1" s="35">
        <f>Firma</f>
        <v>0</v>
      </c>
    </row>
    <row r="2" spans="1:18" s="34" customFormat="1" ht="20.25" x14ac:dyDescent="0.35">
      <c r="E2" s="36"/>
      <c r="P2" s="35">
        <f>Ort</f>
        <v>0</v>
      </c>
    </row>
    <row r="3" spans="1:18" s="34" customFormat="1" x14ac:dyDescent="0.3">
      <c r="Q3" s="37"/>
    </row>
    <row r="4" spans="1:18" s="34" customFormat="1" x14ac:dyDescent="0.3">
      <c r="A4" s="38" t="s">
        <v>2</v>
      </c>
      <c r="C4" s="134"/>
      <c r="D4" s="134"/>
      <c r="E4" s="134"/>
      <c r="G4" s="39" t="s">
        <v>3</v>
      </c>
      <c r="H4" s="132"/>
      <c r="I4" s="132"/>
      <c r="J4" s="40" t="str">
        <f>IF(H4&gt;R31,"Achtung, ungültiges Datum"," ")</f>
        <v xml:space="preserve"> </v>
      </c>
      <c r="R4" s="41">
        <f>IF(H4&gt;Q20,H4,Q20)</f>
        <v>45658</v>
      </c>
    </row>
    <row r="5" spans="1:18" s="34" customFormat="1" x14ac:dyDescent="0.3">
      <c r="A5" s="38" t="s">
        <v>4</v>
      </c>
      <c r="C5" s="133"/>
      <c r="D5" s="133"/>
      <c r="E5" s="133"/>
      <c r="G5" s="39" t="s">
        <v>5</v>
      </c>
      <c r="H5" s="132"/>
      <c r="I5" s="132"/>
      <c r="J5" s="40" t="str">
        <f>IF(H5=0," ",IF(H5&lt;Q20,"Achtung, ungültiges Datum"," "))</f>
        <v xml:space="preserve"> </v>
      </c>
      <c r="R5" s="41">
        <f>IF(H5=0,R31,IF(H5&gt;R31,R31,H5))</f>
        <v>46022</v>
      </c>
    </row>
    <row r="6" spans="1:18" s="34" customFormat="1" ht="17.649999999999999" customHeight="1" x14ac:dyDescent="0.3">
      <c r="A6" s="38" t="s">
        <v>6</v>
      </c>
      <c r="C6" s="133"/>
      <c r="D6" s="133"/>
      <c r="E6" s="133"/>
      <c r="H6" s="42" t="str">
        <f>IF(H5&lt;H4,IF(H5="","","Achtung: Fehler Eintritt / Austritt"),"")</f>
        <v/>
      </c>
      <c r="I6" s="43"/>
    </row>
    <row r="7" spans="1:18" s="34" customFormat="1" ht="17.649999999999999" customHeight="1" x14ac:dyDescent="0.3">
      <c r="A7" s="38" t="s">
        <v>33</v>
      </c>
      <c r="C7" s="133"/>
      <c r="D7" s="133"/>
      <c r="E7" s="133"/>
      <c r="G7" s="39" t="s">
        <v>7</v>
      </c>
      <c r="I7" s="44"/>
      <c r="J7" s="45" t="str">
        <f>IF(E13=1,IF(I7="M","Achtung: Mitarbeiter wird pensioniert per:",IF(E13=1,"Achtung: Mitarbeiterin wird pensioniert per:","")),"")</f>
        <v/>
      </c>
      <c r="N7" s="46" t="str">
        <f>IF(E13=1,C14," ")</f>
        <v xml:space="preserve"> </v>
      </c>
      <c r="O7" s="46"/>
    </row>
    <row r="8" spans="1:18" s="34" customFormat="1" x14ac:dyDescent="0.3">
      <c r="A8" s="38"/>
      <c r="C8" s="42" t="str">
        <f>IF((B35+C35)&lt;&gt;0,IF(C4="","Achtung: Name, Vorname und Adresse eingeben!",""),"")</f>
        <v/>
      </c>
      <c r="D8" s="37"/>
      <c r="E8" s="37"/>
      <c r="I8" s="42" t="str">
        <f>IF((B35+C35)&lt;&gt;0,IF(I7="","Achtung: 'm' für männlich, 'w' für weiblich eingeben!",""),"")</f>
        <v/>
      </c>
      <c r="K8" s="43"/>
    </row>
    <row r="9" spans="1:18" s="34" customFormat="1" x14ac:dyDescent="0.3">
      <c r="A9" s="38" t="s">
        <v>54</v>
      </c>
      <c r="C9" s="135"/>
      <c r="D9" s="135"/>
      <c r="E9" s="47"/>
      <c r="F9" s="48" t="str">
        <f ca="1">IF(D13&gt;=1,"Referenzalter erreicht ab","")</f>
        <v/>
      </c>
      <c r="G9" s="49" t="str">
        <f ca="1">IF(D13=1,C14, " ")</f>
        <v xml:space="preserve"> </v>
      </c>
      <c r="H9" s="50" t="str">
        <f ca="1">IF(F9&gt;" ","AHV-Freibetrag von Fr. 1'400.-- pro Monat berücksichtigen! Kein ALV-Abzug mehr; Korrektur unter Spalte M oder N","")</f>
        <v/>
      </c>
      <c r="I9" s="1"/>
      <c r="J9" s="1"/>
      <c r="K9" s="1"/>
      <c r="L9" s="1"/>
      <c r="M9" s="1"/>
      <c r="N9" s="1"/>
      <c r="O9" s="1"/>
      <c r="P9" s="1"/>
      <c r="Q9" s="1"/>
    </row>
    <row r="10" spans="1:18" s="34" customFormat="1" x14ac:dyDescent="0.3">
      <c r="A10" s="38" t="s">
        <v>55</v>
      </c>
      <c r="C10" s="135"/>
      <c r="D10" s="135"/>
      <c r="E10" s="37"/>
      <c r="F10" s="45"/>
      <c r="G10" s="51"/>
      <c r="H10" s="137" t="str">
        <f ca="1">IF(H9&gt;" ","Mitarbeitende können neu freiwillig auf den AHV-Freibetrag verzichten","")</f>
        <v/>
      </c>
      <c r="I10" s="137"/>
      <c r="J10" s="137"/>
      <c r="K10" s="137"/>
      <c r="L10" s="137"/>
    </row>
    <row r="11" spans="1:18" s="34" customFormat="1" x14ac:dyDescent="0.3">
      <c r="A11" s="38"/>
      <c r="C11" s="52"/>
      <c r="D11" s="52"/>
      <c r="E11" s="45"/>
      <c r="F11" s="53" t="str">
        <f>IF(F13&lt;18,IF(C13&gt;0,"Achtung:",""),"")</f>
        <v/>
      </c>
      <c r="G11" s="51" t="str">
        <f>IF(F11&gt;" ","Angestellte Person ist unter 18 Jahre!","")</f>
        <v/>
      </c>
      <c r="P11" s="54"/>
    </row>
    <row r="12" spans="1:18" s="34" customFormat="1" x14ac:dyDescent="0.3">
      <c r="A12" s="38" t="s">
        <v>8</v>
      </c>
      <c r="C12" s="136"/>
      <c r="D12" s="136"/>
      <c r="E12" s="45"/>
      <c r="G12" s="51" t="str">
        <f>IF(F11&gt;" ","Lohn unter 'nicht AHV-pflichtig' eintragen und ALV manuell auf 0% stellen!","")</f>
        <v/>
      </c>
    </row>
    <row r="13" spans="1:18" s="34" customFormat="1" hidden="1" x14ac:dyDescent="0.3">
      <c r="A13" s="56" t="s">
        <v>62</v>
      </c>
      <c r="B13" s="57"/>
      <c r="C13" s="58" t="b">
        <f>IF($C$12&gt;0,IF(I7="W",EDATE($C$12,(12*64.33)),IF(I7="M",EDATE($C$12,65*12))))</f>
        <v>0</v>
      </c>
      <c r="D13" s="59">
        <f ca="1">IF(C14&gt;TODAY(),0,1)</f>
        <v>0</v>
      </c>
      <c r="E13" s="60">
        <f>IF(C14-($Q$20-1)&lt;365.25,IF(C14-($Q$20-1)&gt;0,1,0),0)</f>
        <v>0</v>
      </c>
      <c r="F13" s="34">
        <f>(R31-C12)/365.25</f>
        <v>126.00136892539356</v>
      </c>
    </row>
    <row r="14" spans="1:18" s="34" customFormat="1" hidden="1" x14ac:dyDescent="0.3">
      <c r="A14" s="56" t="s">
        <v>63</v>
      </c>
      <c r="B14" s="57"/>
      <c r="C14" s="61">
        <f>IFERROR(IF(I7="W",IF(C12&gt;22281,EOMONTH(C13,1),EOMONTH(C13,-2)),EOMONTH(C13,1)),DATE(2900,1,1))</f>
        <v>365245</v>
      </c>
      <c r="E14" s="60"/>
    </row>
    <row r="15" spans="1:18" s="34" customFormat="1" x14ac:dyDescent="0.3">
      <c r="A15" s="37"/>
      <c r="D15" s="130" t="s">
        <v>41</v>
      </c>
      <c r="E15" s="130"/>
      <c r="F15" s="130"/>
      <c r="G15" s="131"/>
      <c r="H15" s="62"/>
      <c r="I15" s="63"/>
      <c r="J15" s="62"/>
      <c r="K15" s="62"/>
    </row>
    <row r="16" spans="1:18" s="16" customFormat="1" ht="12.75" customHeight="1" x14ac:dyDescent="0.25">
      <c r="A16" s="117" t="s">
        <v>9</v>
      </c>
      <c r="B16" s="117" t="str">
        <f>Zusammenstellung!C21</f>
        <v>AHV-Lohn</v>
      </c>
      <c r="C16" s="117" t="str">
        <f>Zusammenstellung!D21</f>
        <v>nicht AHV-pflichtig</v>
      </c>
      <c r="D16" s="117" t="str">
        <f>Zusammenstellung!E21</f>
        <v>Unfall- und
Kranken-
taggeld</v>
      </c>
      <c r="E16" s="117" t="str">
        <f>Zusammenstellung!F21</f>
        <v>Kinder-
zulagen</v>
      </c>
      <c r="F16" s="117" t="str">
        <f>Zusammenstellung!G21</f>
        <v>Total Bruttolohn</v>
      </c>
      <c r="G16" s="128" t="str">
        <f>Zusammenstellung!H21</f>
        <v>AHV</v>
      </c>
      <c r="H16" s="128" t="str">
        <f>Zusammenstellung!I21</f>
        <v>ALV</v>
      </c>
      <c r="I16" s="117" t="str">
        <f>Zusammenstellung!J21</f>
        <v>BVG</v>
      </c>
      <c r="J16" s="128" t="str">
        <f>Zusammenstellung!K21</f>
        <v>NBU</v>
      </c>
      <c r="K16" s="128" t="str">
        <f>Zusammenstellung!L21</f>
        <v>KTG</v>
      </c>
      <c r="L16" s="120"/>
      <c r="M16" s="120"/>
      <c r="N16" s="117" t="str">
        <f>Zusammenstellung!O21</f>
        <v>Nettolohn</v>
      </c>
      <c r="O16" s="117" t="str">
        <f>Zusammenstellung!P21</f>
        <v xml:space="preserve">Spesen </v>
      </c>
      <c r="P16" s="117" t="str">
        <f>Zusammenstellung!Q21</f>
        <v>Auszahlung</v>
      </c>
    </row>
    <row r="17" spans="1:29" s="16" customFormat="1" ht="14.25" x14ac:dyDescent="0.25">
      <c r="A17" s="118"/>
      <c r="B17" s="118"/>
      <c r="C17" s="118"/>
      <c r="D17" s="118"/>
      <c r="E17" s="118"/>
      <c r="F17" s="118"/>
      <c r="G17" s="129"/>
      <c r="H17" s="129"/>
      <c r="I17" s="118"/>
      <c r="J17" s="129"/>
      <c r="K17" s="129"/>
      <c r="L17" s="121"/>
      <c r="M17" s="121"/>
      <c r="N17" s="118"/>
      <c r="O17" s="118"/>
      <c r="P17" s="118"/>
      <c r="Q17" s="115" t="s">
        <v>9</v>
      </c>
      <c r="R17" s="116"/>
      <c r="S17" s="116" t="s">
        <v>45</v>
      </c>
      <c r="T17" s="116"/>
      <c r="U17" s="16" t="s">
        <v>46</v>
      </c>
      <c r="V17" s="16" t="s">
        <v>47</v>
      </c>
      <c r="W17" s="16" t="s">
        <v>50</v>
      </c>
      <c r="X17" s="16" t="s">
        <v>60</v>
      </c>
      <c r="Y17" s="16" t="s">
        <v>51</v>
      </c>
      <c r="Z17" s="16" t="s">
        <v>61</v>
      </c>
      <c r="AA17" s="16" t="s">
        <v>49</v>
      </c>
      <c r="AB17" s="16" t="s">
        <v>48</v>
      </c>
      <c r="AC17" s="16" t="s">
        <v>59</v>
      </c>
    </row>
    <row r="18" spans="1:29" s="16" customFormat="1" ht="14.25" x14ac:dyDescent="0.2">
      <c r="A18" s="119"/>
      <c r="B18" s="119"/>
      <c r="C18" s="119"/>
      <c r="D18" s="119"/>
      <c r="E18" s="119"/>
      <c r="F18" s="119"/>
      <c r="G18" s="64">
        <f>AHV</f>
        <v>5.2999999999999999E-2</v>
      </c>
      <c r="H18" s="64">
        <f>IF(H15="",ALV,H15)</f>
        <v>1.0999999999999999E-2</v>
      </c>
      <c r="I18" s="119"/>
      <c r="J18" s="64">
        <f>IF(J15="",NBU,J15)</f>
        <v>1.4E-2</v>
      </c>
      <c r="K18" s="64">
        <f>IF(K15="",IF(I7="w",KTGW,KTG),K15)</f>
        <v>0.01</v>
      </c>
      <c r="L18" s="17"/>
      <c r="M18" s="17"/>
      <c r="N18" s="119"/>
      <c r="O18" s="119"/>
      <c r="P18" s="119"/>
      <c r="Q18" s="65" t="s">
        <v>43</v>
      </c>
      <c r="R18" s="65" t="s">
        <v>44</v>
      </c>
      <c r="S18" s="65" t="s">
        <v>43</v>
      </c>
      <c r="T18" s="65" t="s">
        <v>44</v>
      </c>
    </row>
    <row r="19" spans="1:29" s="16" customFormat="1" x14ac:dyDescent="0.3">
      <c r="A19" s="63"/>
      <c r="B19" s="63"/>
      <c r="C19" s="63"/>
      <c r="D19" s="63"/>
      <c r="E19" s="63"/>
      <c r="F19" s="63"/>
      <c r="G19" s="66"/>
      <c r="H19" s="66"/>
      <c r="I19" s="63"/>
      <c r="J19" s="66"/>
      <c r="K19" s="66"/>
      <c r="L19" s="66"/>
      <c r="M19" s="66"/>
      <c r="N19" s="63"/>
      <c r="O19" s="63"/>
      <c r="P19" s="63"/>
      <c r="Z19" s="67"/>
    </row>
    <row r="20" spans="1:29" x14ac:dyDescent="0.3">
      <c r="A20" s="68">
        <v>38383</v>
      </c>
      <c r="B20" s="69"/>
      <c r="C20" s="69"/>
      <c r="D20" s="69"/>
      <c r="E20" s="69"/>
      <c r="F20" s="70">
        <f t="shared" ref="F20:F33" si="0">SUM(B20:E20)</f>
        <v>0</v>
      </c>
      <c r="G20" s="71">
        <f>ROUND($B20*G$18/5,2)*5</f>
        <v>0</v>
      </c>
      <c r="H20" s="71">
        <f t="shared" ref="H20:H33" si="1">ROUND(W20*$H$18/5,2)*5</f>
        <v>0</v>
      </c>
      <c r="I20" s="69"/>
      <c r="J20" s="71">
        <f t="shared" ref="J20:J33" si="2">ROUND(W20*$J$18/5,2)*5</f>
        <v>0</v>
      </c>
      <c r="K20" s="71">
        <f t="shared" ref="K20:K33" si="3">ROUND(($B20+$C20)*K$18/5,2)*5</f>
        <v>0</v>
      </c>
      <c r="L20" s="69"/>
      <c r="M20" s="69"/>
      <c r="N20" s="71">
        <f>F20-G20-H20-J20-K20-L20-M20-I20</f>
        <v>0</v>
      </c>
      <c r="O20" s="69"/>
      <c r="P20" s="70">
        <f t="shared" ref="P20:P33" si="4">N20+O20</f>
        <v>0</v>
      </c>
      <c r="Q20" s="72">
        <v>45658</v>
      </c>
      <c r="R20" s="41">
        <f>Q20+30</f>
        <v>45688</v>
      </c>
      <c r="S20" s="41">
        <f t="shared" ref="S20:S31" si="5">IF($R$4&gt;R20,0,IF($R$4&gt;Q20,$R$4,Q20))</f>
        <v>45658</v>
      </c>
      <c r="T20" s="41">
        <f t="shared" ref="T20:T31" si="6">IF(S20=0,0,IF($R$5&gt;R20,R20,IF(S20&gt;$R$5,(S20)-1,$R$5)))</f>
        <v>45688</v>
      </c>
      <c r="U20" s="73">
        <f>IF(S20=0,0,DAYS360(S20,T20,1)+1)</f>
        <v>30</v>
      </c>
      <c r="V20" s="73">
        <f>U20</f>
        <v>30</v>
      </c>
      <c r="W20" s="67">
        <f>IF(AA20&gt;AB20,AB20-Y19,AA20-Y19)</f>
        <v>0</v>
      </c>
      <c r="X20" s="67">
        <f>IF(AA20&lt;(AB20),0,IF(AA20&gt;(AB20+AC20),AC20-Z19,AA20-Z19-AB20))</f>
        <v>0</v>
      </c>
      <c r="Y20" s="67">
        <f>W20</f>
        <v>0</v>
      </c>
      <c r="Z20" s="67">
        <f>X20</f>
        <v>0</v>
      </c>
      <c r="AA20" s="67">
        <f>B20+C20</f>
        <v>0</v>
      </c>
      <c r="AB20" s="67">
        <f t="shared" ref="AB20:AB33" si="7">ALVMAX/360*V20</f>
        <v>12350</v>
      </c>
      <c r="AC20" s="67">
        <f>(ALVMAX2/360*V20)-AB20</f>
        <v>8320983.2500000009</v>
      </c>
    </row>
    <row r="21" spans="1:29" x14ac:dyDescent="0.3">
      <c r="A21" s="68">
        <v>38411</v>
      </c>
      <c r="B21" s="69"/>
      <c r="C21" s="69"/>
      <c r="D21" s="69"/>
      <c r="E21" s="69"/>
      <c r="F21" s="70">
        <f t="shared" si="0"/>
        <v>0</v>
      </c>
      <c r="G21" s="71">
        <f t="shared" ref="G21:G33" si="8">ROUND(B21*$G$18/5,2)*5</f>
        <v>0</v>
      </c>
      <c r="H21" s="71">
        <f t="shared" si="1"/>
        <v>0</v>
      </c>
      <c r="I21" s="69"/>
      <c r="J21" s="71">
        <f t="shared" si="2"/>
        <v>0</v>
      </c>
      <c r="K21" s="71">
        <f t="shared" si="3"/>
        <v>0</v>
      </c>
      <c r="L21" s="69"/>
      <c r="M21" s="69"/>
      <c r="N21" s="71">
        <f t="shared" ref="N21:N33" si="9">F21-G21-H21-J21-K21-L21-M21-I21</f>
        <v>0</v>
      </c>
      <c r="O21" s="69"/>
      <c r="P21" s="70">
        <f t="shared" si="4"/>
        <v>0</v>
      </c>
      <c r="Q21" s="41">
        <f t="shared" ref="Q21:Q31" si="10">R20+1</f>
        <v>45689</v>
      </c>
      <c r="R21" s="72">
        <v>45716</v>
      </c>
      <c r="S21" s="41">
        <f t="shared" si="5"/>
        <v>45689</v>
      </c>
      <c r="T21" s="41">
        <f t="shared" si="6"/>
        <v>45716</v>
      </c>
      <c r="U21" s="73">
        <f>IF(S21=0,0,IF(R21=T21,DAYS360(S21,T21,1)+3,DAYS360(S21,T21,1)+1))</f>
        <v>30</v>
      </c>
      <c r="V21" s="73">
        <f t="shared" ref="V21:V33" si="11">V20+U21</f>
        <v>60</v>
      </c>
      <c r="W21" s="67">
        <f>IF(AA21&gt;AB21,AB21-Y20,AA21-Y20)</f>
        <v>0</v>
      </c>
      <c r="X21" s="67">
        <f>IF(AA21&lt;(AB21),0,IF(AA21&gt;(AB21+AC21),AC21-Z20,AA21-Z20-AB21))</f>
        <v>0</v>
      </c>
      <c r="Y21" s="67">
        <f t="shared" ref="Y21:Y33" si="12">Y20+W21</f>
        <v>0</v>
      </c>
      <c r="Z21" s="67">
        <f>X21+Z20</f>
        <v>0</v>
      </c>
      <c r="AA21" s="67">
        <f t="shared" ref="AA21:AA33" si="13">AA20+B21+C21</f>
        <v>0</v>
      </c>
      <c r="AB21" s="67">
        <f t="shared" si="7"/>
        <v>24700</v>
      </c>
      <c r="AC21" s="67">
        <f t="shared" ref="AC21:AC33" si="14">(ALVMAX2/360*V21)-AB21</f>
        <v>16641966.500000002</v>
      </c>
    </row>
    <row r="22" spans="1:29" x14ac:dyDescent="0.3">
      <c r="A22" s="68">
        <v>38442</v>
      </c>
      <c r="B22" s="69"/>
      <c r="C22" s="69"/>
      <c r="D22" s="69"/>
      <c r="E22" s="69"/>
      <c r="F22" s="70">
        <f t="shared" si="0"/>
        <v>0</v>
      </c>
      <c r="G22" s="71">
        <f t="shared" si="8"/>
        <v>0</v>
      </c>
      <c r="H22" s="71">
        <f t="shared" si="1"/>
        <v>0</v>
      </c>
      <c r="I22" s="69"/>
      <c r="J22" s="71">
        <f t="shared" si="2"/>
        <v>0</v>
      </c>
      <c r="K22" s="71">
        <f t="shared" si="3"/>
        <v>0</v>
      </c>
      <c r="L22" s="69"/>
      <c r="M22" s="69"/>
      <c r="N22" s="71">
        <f t="shared" si="9"/>
        <v>0</v>
      </c>
      <c r="O22" s="69"/>
      <c r="P22" s="70">
        <f t="shared" si="4"/>
        <v>0</v>
      </c>
      <c r="Q22" s="41">
        <f>R21+1</f>
        <v>45717</v>
      </c>
      <c r="R22" s="41">
        <f>Q22+30</f>
        <v>45747</v>
      </c>
      <c r="S22" s="41">
        <f t="shared" si="5"/>
        <v>45717</v>
      </c>
      <c r="T22" s="41">
        <f t="shared" si="6"/>
        <v>45747</v>
      </c>
      <c r="U22" s="73">
        <f>IF(S22=0,0,IF(T22=R21,DAYS360(S22,T22,1)+3,DAYS360(S22,T22,1)+1))</f>
        <v>30</v>
      </c>
      <c r="V22" s="73">
        <f t="shared" si="11"/>
        <v>90</v>
      </c>
      <c r="W22" s="67">
        <f>IF(AA22&gt;AB22,AB22-Y21,AA22-Y21)</f>
        <v>0</v>
      </c>
      <c r="X22" s="67">
        <f t="shared" ref="X22:X33" si="15">IF(AA22&lt;(AB22),0,IF(AA22&gt;(AB22+AC22),AC22-Z21,AA22-Z21-AB22))</f>
        <v>0</v>
      </c>
      <c r="Y22" s="67">
        <f t="shared" si="12"/>
        <v>0</v>
      </c>
      <c r="Z22" s="67">
        <f t="shared" ref="Z22:Z33" si="16">X22+Z21</f>
        <v>0</v>
      </c>
      <c r="AA22" s="67">
        <f t="shared" si="13"/>
        <v>0</v>
      </c>
      <c r="AB22" s="67">
        <f t="shared" si="7"/>
        <v>37050</v>
      </c>
      <c r="AC22" s="67">
        <f t="shared" si="14"/>
        <v>24962949.750000004</v>
      </c>
    </row>
    <row r="23" spans="1:29" x14ac:dyDescent="0.3">
      <c r="A23" s="68">
        <v>38472</v>
      </c>
      <c r="B23" s="69"/>
      <c r="C23" s="69"/>
      <c r="D23" s="69"/>
      <c r="E23" s="69"/>
      <c r="F23" s="70">
        <f t="shared" si="0"/>
        <v>0</v>
      </c>
      <c r="G23" s="71">
        <f t="shared" si="8"/>
        <v>0</v>
      </c>
      <c r="H23" s="71">
        <f t="shared" si="1"/>
        <v>0</v>
      </c>
      <c r="I23" s="69"/>
      <c r="J23" s="71">
        <f t="shared" si="2"/>
        <v>0</v>
      </c>
      <c r="K23" s="71">
        <f t="shared" si="3"/>
        <v>0</v>
      </c>
      <c r="L23" s="69"/>
      <c r="M23" s="69"/>
      <c r="N23" s="71">
        <f t="shared" si="9"/>
        <v>0</v>
      </c>
      <c r="O23" s="69"/>
      <c r="P23" s="70">
        <f t="shared" si="4"/>
        <v>0</v>
      </c>
      <c r="Q23" s="41">
        <f t="shared" si="10"/>
        <v>45748</v>
      </c>
      <c r="R23" s="41">
        <f>Q23+29</f>
        <v>45777</v>
      </c>
      <c r="S23" s="41">
        <f t="shared" si="5"/>
        <v>45748</v>
      </c>
      <c r="T23" s="41">
        <f t="shared" si="6"/>
        <v>45777</v>
      </c>
      <c r="U23" s="73">
        <f t="shared" ref="U23:U31" si="17">IF(S23=0,0,DAYS360(S23,T23,1)+1)</f>
        <v>30</v>
      </c>
      <c r="V23" s="73">
        <f t="shared" si="11"/>
        <v>120</v>
      </c>
      <c r="W23" s="67">
        <f t="shared" ref="W23:W33" si="18">IF(AA23&gt;AB23,AB23-Y22,AA23-Y22)</f>
        <v>0</v>
      </c>
      <c r="X23" s="67">
        <f t="shared" si="15"/>
        <v>0</v>
      </c>
      <c r="Y23" s="67">
        <f t="shared" si="12"/>
        <v>0</v>
      </c>
      <c r="Z23" s="67">
        <f t="shared" si="16"/>
        <v>0</v>
      </c>
      <c r="AA23" s="67">
        <f t="shared" si="13"/>
        <v>0</v>
      </c>
      <c r="AB23" s="67">
        <f t="shared" si="7"/>
        <v>49400</v>
      </c>
      <c r="AC23" s="67">
        <f t="shared" si="14"/>
        <v>33283933.000000004</v>
      </c>
    </row>
    <row r="24" spans="1:29" x14ac:dyDescent="0.3">
      <c r="A24" s="68">
        <v>38503</v>
      </c>
      <c r="B24" s="69"/>
      <c r="C24" s="69"/>
      <c r="D24" s="69"/>
      <c r="E24" s="69"/>
      <c r="F24" s="70">
        <f t="shared" si="0"/>
        <v>0</v>
      </c>
      <c r="G24" s="71">
        <f t="shared" si="8"/>
        <v>0</v>
      </c>
      <c r="H24" s="71">
        <f t="shared" si="1"/>
        <v>0</v>
      </c>
      <c r="I24" s="69"/>
      <c r="J24" s="71">
        <f t="shared" si="2"/>
        <v>0</v>
      </c>
      <c r="K24" s="71">
        <f t="shared" si="3"/>
        <v>0</v>
      </c>
      <c r="L24" s="69"/>
      <c r="M24" s="69"/>
      <c r="N24" s="71">
        <f t="shared" si="9"/>
        <v>0</v>
      </c>
      <c r="O24" s="69"/>
      <c r="P24" s="70">
        <f t="shared" si="4"/>
        <v>0</v>
      </c>
      <c r="Q24" s="41">
        <f t="shared" si="10"/>
        <v>45778</v>
      </c>
      <c r="R24" s="41">
        <f>Q24+30</f>
        <v>45808</v>
      </c>
      <c r="S24" s="41">
        <f t="shared" si="5"/>
        <v>45778</v>
      </c>
      <c r="T24" s="41">
        <f t="shared" si="6"/>
        <v>45808</v>
      </c>
      <c r="U24" s="73">
        <f t="shared" si="17"/>
        <v>30</v>
      </c>
      <c r="V24" s="73">
        <f t="shared" si="11"/>
        <v>150</v>
      </c>
      <c r="W24" s="67">
        <f t="shared" si="18"/>
        <v>0</v>
      </c>
      <c r="X24" s="67">
        <f t="shared" si="15"/>
        <v>0</v>
      </c>
      <c r="Y24" s="67">
        <f t="shared" si="12"/>
        <v>0</v>
      </c>
      <c r="Z24" s="67">
        <f t="shared" si="16"/>
        <v>0</v>
      </c>
      <c r="AA24" s="67">
        <f t="shared" si="13"/>
        <v>0</v>
      </c>
      <c r="AB24" s="67">
        <f t="shared" si="7"/>
        <v>61750</v>
      </c>
      <c r="AC24" s="67">
        <f t="shared" si="14"/>
        <v>41604916.25</v>
      </c>
    </row>
    <row r="25" spans="1:29" x14ac:dyDescent="0.3">
      <c r="A25" s="68">
        <v>38533</v>
      </c>
      <c r="B25" s="69"/>
      <c r="C25" s="69"/>
      <c r="D25" s="69"/>
      <c r="E25" s="69"/>
      <c r="F25" s="70">
        <f t="shared" si="0"/>
        <v>0</v>
      </c>
      <c r="G25" s="71">
        <f t="shared" si="8"/>
        <v>0</v>
      </c>
      <c r="H25" s="71">
        <f t="shared" si="1"/>
        <v>0</v>
      </c>
      <c r="I25" s="69"/>
      <c r="J25" s="71">
        <f t="shared" si="2"/>
        <v>0</v>
      </c>
      <c r="K25" s="71">
        <f t="shared" si="3"/>
        <v>0</v>
      </c>
      <c r="L25" s="69"/>
      <c r="M25" s="69"/>
      <c r="N25" s="71">
        <f t="shared" si="9"/>
        <v>0</v>
      </c>
      <c r="O25" s="69"/>
      <c r="P25" s="70">
        <f t="shared" si="4"/>
        <v>0</v>
      </c>
      <c r="Q25" s="41">
        <f t="shared" si="10"/>
        <v>45809</v>
      </c>
      <c r="R25" s="41">
        <f>Q25+29</f>
        <v>45838</v>
      </c>
      <c r="S25" s="41">
        <f t="shared" si="5"/>
        <v>45809</v>
      </c>
      <c r="T25" s="41">
        <f t="shared" si="6"/>
        <v>45838</v>
      </c>
      <c r="U25" s="73">
        <f t="shared" si="17"/>
        <v>30</v>
      </c>
      <c r="V25" s="73">
        <f t="shared" si="11"/>
        <v>180</v>
      </c>
      <c r="W25" s="67">
        <f t="shared" si="18"/>
        <v>0</v>
      </c>
      <c r="X25" s="67">
        <f t="shared" si="15"/>
        <v>0</v>
      </c>
      <c r="Y25" s="67">
        <f t="shared" si="12"/>
        <v>0</v>
      </c>
      <c r="Z25" s="67">
        <f t="shared" si="16"/>
        <v>0</v>
      </c>
      <c r="AA25" s="67">
        <f t="shared" si="13"/>
        <v>0</v>
      </c>
      <c r="AB25" s="67">
        <f t="shared" si="7"/>
        <v>74100</v>
      </c>
      <c r="AC25" s="67">
        <f t="shared" si="14"/>
        <v>49925899.500000007</v>
      </c>
    </row>
    <row r="26" spans="1:29" x14ac:dyDescent="0.3">
      <c r="A26" s="68">
        <v>38564</v>
      </c>
      <c r="B26" s="69"/>
      <c r="C26" s="69"/>
      <c r="D26" s="69"/>
      <c r="E26" s="69"/>
      <c r="F26" s="70">
        <f t="shared" si="0"/>
        <v>0</v>
      </c>
      <c r="G26" s="71">
        <f t="shared" si="8"/>
        <v>0</v>
      </c>
      <c r="H26" s="71">
        <f t="shared" si="1"/>
        <v>0</v>
      </c>
      <c r="I26" s="69"/>
      <c r="J26" s="71">
        <f t="shared" si="2"/>
        <v>0</v>
      </c>
      <c r="K26" s="71">
        <f t="shared" si="3"/>
        <v>0</v>
      </c>
      <c r="L26" s="69"/>
      <c r="M26" s="69"/>
      <c r="N26" s="71">
        <f t="shared" si="9"/>
        <v>0</v>
      </c>
      <c r="O26" s="69"/>
      <c r="P26" s="70">
        <f t="shared" si="4"/>
        <v>0</v>
      </c>
      <c r="Q26" s="41">
        <f t="shared" si="10"/>
        <v>45839</v>
      </c>
      <c r="R26" s="41">
        <f>Q26+30</f>
        <v>45869</v>
      </c>
      <c r="S26" s="41">
        <f t="shared" si="5"/>
        <v>45839</v>
      </c>
      <c r="T26" s="41">
        <f t="shared" si="6"/>
        <v>45869</v>
      </c>
      <c r="U26" s="73">
        <f t="shared" si="17"/>
        <v>30</v>
      </c>
      <c r="V26" s="73">
        <f t="shared" si="11"/>
        <v>210</v>
      </c>
      <c r="W26" s="67">
        <f t="shared" si="18"/>
        <v>0</v>
      </c>
      <c r="X26" s="67">
        <f t="shared" si="15"/>
        <v>0</v>
      </c>
      <c r="Y26" s="67">
        <f t="shared" si="12"/>
        <v>0</v>
      </c>
      <c r="Z26" s="67">
        <f t="shared" si="16"/>
        <v>0</v>
      </c>
      <c r="AA26" s="67">
        <f t="shared" si="13"/>
        <v>0</v>
      </c>
      <c r="AB26" s="67">
        <f t="shared" si="7"/>
        <v>86450</v>
      </c>
      <c r="AC26" s="67">
        <f t="shared" si="14"/>
        <v>58246882.750000007</v>
      </c>
    </row>
    <row r="27" spans="1:29" x14ac:dyDescent="0.3">
      <c r="A27" s="68">
        <v>38595</v>
      </c>
      <c r="B27" s="69"/>
      <c r="C27" s="69"/>
      <c r="D27" s="69"/>
      <c r="E27" s="69"/>
      <c r="F27" s="70">
        <f t="shared" si="0"/>
        <v>0</v>
      </c>
      <c r="G27" s="71">
        <f t="shared" si="8"/>
        <v>0</v>
      </c>
      <c r="H27" s="71">
        <f t="shared" si="1"/>
        <v>0</v>
      </c>
      <c r="I27" s="69"/>
      <c r="J27" s="71">
        <f t="shared" si="2"/>
        <v>0</v>
      </c>
      <c r="K27" s="71">
        <f t="shared" si="3"/>
        <v>0</v>
      </c>
      <c r="L27" s="69"/>
      <c r="M27" s="69"/>
      <c r="N27" s="71">
        <f t="shared" si="9"/>
        <v>0</v>
      </c>
      <c r="O27" s="69"/>
      <c r="P27" s="70">
        <f t="shared" si="4"/>
        <v>0</v>
      </c>
      <c r="Q27" s="41">
        <f t="shared" si="10"/>
        <v>45870</v>
      </c>
      <c r="R27" s="41">
        <f>Q27+30</f>
        <v>45900</v>
      </c>
      <c r="S27" s="41">
        <f t="shared" si="5"/>
        <v>45870</v>
      </c>
      <c r="T27" s="41">
        <f t="shared" si="6"/>
        <v>45900</v>
      </c>
      <c r="U27" s="73">
        <f t="shared" si="17"/>
        <v>30</v>
      </c>
      <c r="V27" s="73">
        <f t="shared" si="11"/>
        <v>240</v>
      </c>
      <c r="W27" s="67">
        <f t="shared" si="18"/>
        <v>0</v>
      </c>
      <c r="X27" s="67">
        <f t="shared" si="15"/>
        <v>0</v>
      </c>
      <c r="Y27" s="67">
        <f t="shared" si="12"/>
        <v>0</v>
      </c>
      <c r="Z27" s="67">
        <f t="shared" si="16"/>
        <v>0</v>
      </c>
      <c r="AA27" s="67">
        <f t="shared" si="13"/>
        <v>0</v>
      </c>
      <c r="AB27" s="67">
        <f t="shared" si="7"/>
        <v>98800</v>
      </c>
      <c r="AC27" s="67">
        <f t="shared" si="14"/>
        <v>66567866.000000007</v>
      </c>
    </row>
    <row r="28" spans="1:29" x14ac:dyDescent="0.3">
      <c r="A28" s="68">
        <v>38625</v>
      </c>
      <c r="B28" s="69"/>
      <c r="C28" s="69"/>
      <c r="D28" s="69"/>
      <c r="E28" s="69"/>
      <c r="F28" s="70">
        <f t="shared" si="0"/>
        <v>0</v>
      </c>
      <c r="G28" s="71">
        <f t="shared" si="8"/>
        <v>0</v>
      </c>
      <c r="H28" s="71">
        <f t="shared" si="1"/>
        <v>0</v>
      </c>
      <c r="I28" s="69"/>
      <c r="J28" s="71">
        <f t="shared" si="2"/>
        <v>0</v>
      </c>
      <c r="K28" s="71">
        <f t="shared" si="3"/>
        <v>0</v>
      </c>
      <c r="L28" s="69"/>
      <c r="M28" s="69"/>
      <c r="N28" s="71">
        <f t="shared" si="9"/>
        <v>0</v>
      </c>
      <c r="O28" s="69"/>
      <c r="P28" s="70">
        <f t="shared" si="4"/>
        <v>0</v>
      </c>
      <c r="Q28" s="41">
        <f t="shared" si="10"/>
        <v>45901</v>
      </c>
      <c r="R28" s="41">
        <f>Q28+29</f>
        <v>45930</v>
      </c>
      <c r="S28" s="41">
        <f t="shared" si="5"/>
        <v>45901</v>
      </c>
      <c r="T28" s="41">
        <f t="shared" si="6"/>
        <v>45930</v>
      </c>
      <c r="U28" s="73">
        <f t="shared" si="17"/>
        <v>30</v>
      </c>
      <c r="V28" s="73">
        <f t="shared" si="11"/>
        <v>270</v>
      </c>
      <c r="W28" s="67">
        <f t="shared" si="18"/>
        <v>0</v>
      </c>
      <c r="X28" s="67">
        <f t="shared" si="15"/>
        <v>0</v>
      </c>
      <c r="Y28" s="67">
        <f t="shared" si="12"/>
        <v>0</v>
      </c>
      <c r="Z28" s="67">
        <f t="shared" si="16"/>
        <v>0</v>
      </c>
      <c r="AA28" s="67">
        <f t="shared" si="13"/>
        <v>0</v>
      </c>
      <c r="AB28" s="67">
        <f t="shared" si="7"/>
        <v>111150</v>
      </c>
      <c r="AC28" s="67">
        <f t="shared" si="14"/>
        <v>74888849.25</v>
      </c>
    </row>
    <row r="29" spans="1:29" x14ac:dyDescent="0.3">
      <c r="A29" s="68">
        <v>38656</v>
      </c>
      <c r="B29" s="69"/>
      <c r="C29" s="69"/>
      <c r="D29" s="69"/>
      <c r="E29" s="69"/>
      <c r="F29" s="70">
        <f t="shared" si="0"/>
        <v>0</v>
      </c>
      <c r="G29" s="71">
        <f t="shared" si="8"/>
        <v>0</v>
      </c>
      <c r="H29" s="71">
        <f t="shared" si="1"/>
        <v>0</v>
      </c>
      <c r="I29" s="69"/>
      <c r="J29" s="71">
        <f t="shared" si="2"/>
        <v>0</v>
      </c>
      <c r="K29" s="71">
        <f t="shared" si="3"/>
        <v>0</v>
      </c>
      <c r="L29" s="69"/>
      <c r="M29" s="69"/>
      <c r="N29" s="71">
        <f t="shared" si="9"/>
        <v>0</v>
      </c>
      <c r="O29" s="69"/>
      <c r="P29" s="70">
        <f t="shared" si="4"/>
        <v>0</v>
      </c>
      <c r="Q29" s="41">
        <f t="shared" si="10"/>
        <v>45931</v>
      </c>
      <c r="R29" s="41">
        <f>Q29+30</f>
        <v>45961</v>
      </c>
      <c r="S29" s="41">
        <f t="shared" si="5"/>
        <v>45931</v>
      </c>
      <c r="T29" s="41">
        <f t="shared" si="6"/>
        <v>45961</v>
      </c>
      <c r="U29" s="73">
        <f t="shared" si="17"/>
        <v>30</v>
      </c>
      <c r="V29" s="73">
        <f t="shared" si="11"/>
        <v>300</v>
      </c>
      <c r="W29" s="67">
        <f t="shared" si="18"/>
        <v>0</v>
      </c>
      <c r="X29" s="67">
        <f t="shared" si="15"/>
        <v>0</v>
      </c>
      <c r="Y29" s="67">
        <f t="shared" si="12"/>
        <v>0</v>
      </c>
      <c r="Z29" s="67">
        <f t="shared" si="16"/>
        <v>0</v>
      </c>
      <c r="AA29" s="67">
        <f t="shared" si="13"/>
        <v>0</v>
      </c>
      <c r="AB29" s="67">
        <f t="shared" si="7"/>
        <v>123500</v>
      </c>
      <c r="AC29" s="67">
        <f t="shared" si="14"/>
        <v>83209832.5</v>
      </c>
    </row>
    <row r="30" spans="1:29" x14ac:dyDescent="0.3">
      <c r="A30" s="68">
        <v>38686</v>
      </c>
      <c r="B30" s="69"/>
      <c r="C30" s="69"/>
      <c r="D30" s="69"/>
      <c r="E30" s="69"/>
      <c r="F30" s="70">
        <f t="shared" si="0"/>
        <v>0</v>
      </c>
      <c r="G30" s="71">
        <f t="shared" si="8"/>
        <v>0</v>
      </c>
      <c r="H30" s="71">
        <f t="shared" si="1"/>
        <v>0</v>
      </c>
      <c r="I30" s="69"/>
      <c r="J30" s="71">
        <f t="shared" si="2"/>
        <v>0</v>
      </c>
      <c r="K30" s="71">
        <f t="shared" si="3"/>
        <v>0</v>
      </c>
      <c r="L30" s="69"/>
      <c r="M30" s="69"/>
      <c r="N30" s="71">
        <f t="shared" si="9"/>
        <v>0</v>
      </c>
      <c r="O30" s="69"/>
      <c r="P30" s="70">
        <f t="shared" si="4"/>
        <v>0</v>
      </c>
      <c r="Q30" s="41">
        <f t="shared" si="10"/>
        <v>45962</v>
      </c>
      <c r="R30" s="41">
        <f>Q30+29</f>
        <v>45991</v>
      </c>
      <c r="S30" s="41">
        <f t="shared" si="5"/>
        <v>45962</v>
      </c>
      <c r="T30" s="41">
        <f t="shared" si="6"/>
        <v>45991</v>
      </c>
      <c r="U30" s="73">
        <f t="shared" si="17"/>
        <v>30</v>
      </c>
      <c r="V30" s="73">
        <f t="shared" si="11"/>
        <v>330</v>
      </c>
      <c r="W30" s="67">
        <f t="shared" si="18"/>
        <v>0</v>
      </c>
      <c r="X30" s="67">
        <f t="shared" si="15"/>
        <v>0</v>
      </c>
      <c r="Y30" s="67">
        <f t="shared" si="12"/>
        <v>0</v>
      </c>
      <c r="Z30" s="67">
        <f t="shared" si="16"/>
        <v>0</v>
      </c>
      <c r="AA30" s="67">
        <f t="shared" si="13"/>
        <v>0</v>
      </c>
      <c r="AB30" s="67">
        <f t="shared" si="7"/>
        <v>135850</v>
      </c>
      <c r="AC30" s="67">
        <f t="shared" si="14"/>
        <v>91530815.750000015</v>
      </c>
    </row>
    <row r="31" spans="1:29" x14ac:dyDescent="0.3">
      <c r="A31" s="68">
        <v>38717</v>
      </c>
      <c r="B31" s="69"/>
      <c r="C31" s="69"/>
      <c r="D31" s="69"/>
      <c r="E31" s="69"/>
      <c r="F31" s="70">
        <f t="shared" si="0"/>
        <v>0</v>
      </c>
      <c r="G31" s="71">
        <f t="shared" si="8"/>
        <v>0</v>
      </c>
      <c r="H31" s="71">
        <f t="shared" si="1"/>
        <v>0</v>
      </c>
      <c r="I31" s="69"/>
      <c r="J31" s="71">
        <f t="shared" si="2"/>
        <v>0</v>
      </c>
      <c r="K31" s="71">
        <f t="shared" si="3"/>
        <v>0</v>
      </c>
      <c r="L31" s="69"/>
      <c r="M31" s="69"/>
      <c r="N31" s="71">
        <f t="shared" si="9"/>
        <v>0</v>
      </c>
      <c r="O31" s="69"/>
      <c r="P31" s="70">
        <f t="shared" si="4"/>
        <v>0</v>
      </c>
      <c r="Q31" s="41">
        <f t="shared" si="10"/>
        <v>45992</v>
      </c>
      <c r="R31" s="41">
        <f>Q31+30</f>
        <v>46022</v>
      </c>
      <c r="S31" s="41">
        <f t="shared" si="5"/>
        <v>45992</v>
      </c>
      <c r="T31" s="41">
        <f t="shared" si="6"/>
        <v>46022</v>
      </c>
      <c r="U31" s="73">
        <f t="shared" si="17"/>
        <v>30</v>
      </c>
      <c r="V31" s="73">
        <f t="shared" si="11"/>
        <v>360</v>
      </c>
      <c r="W31" s="67">
        <f t="shared" si="18"/>
        <v>0</v>
      </c>
      <c r="X31" s="67">
        <f t="shared" si="15"/>
        <v>0</v>
      </c>
      <c r="Y31" s="67">
        <f t="shared" si="12"/>
        <v>0</v>
      </c>
      <c r="Z31" s="67">
        <f t="shared" si="16"/>
        <v>0</v>
      </c>
      <c r="AA31" s="67">
        <f t="shared" si="13"/>
        <v>0</v>
      </c>
      <c r="AB31" s="67">
        <f t="shared" si="7"/>
        <v>148200</v>
      </c>
      <c r="AC31" s="67">
        <f t="shared" si="14"/>
        <v>99851799.000000015</v>
      </c>
    </row>
    <row r="32" spans="1:29" x14ac:dyDescent="0.3">
      <c r="A32" s="74" t="s">
        <v>20</v>
      </c>
      <c r="B32" s="69"/>
      <c r="C32" s="69"/>
      <c r="D32" s="69"/>
      <c r="E32" s="69"/>
      <c r="F32" s="70">
        <f t="shared" si="0"/>
        <v>0</v>
      </c>
      <c r="G32" s="71">
        <f t="shared" si="8"/>
        <v>0</v>
      </c>
      <c r="H32" s="71">
        <f t="shared" si="1"/>
        <v>0</v>
      </c>
      <c r="I32" s="69"/>
      <c r="J32" s="71">
        <f t="shared" si="2"/>
        <v>0</v>
      </c>
      <c r="K32" s="71">
        <f t="shared" si="3"/>
        <v>0</v>
      </c>
      <c r="L32" s="69"/>
      <c r="M32" s="69"/>
      <c r="N32" s="71">
        <f t="shared" si="9"/>
        <v>0</v>
      </c>
      <c r="O32" s="69"/>
      <c r="P32" s="70">
        <f t="shared" si="4"/>
        <v>0</v>
      </c>
      <c r="Q32" s="41"/>
      <c r="R32" s="41"/>
      <c r="U32" s="73">
        <f>IF(S32=0,0,DAYS360(S32,T32,1)+1)</f>
        <v>0</v>
      </c>
      <c r="V32" s="73">
        <f t="shared" si="11"/>
        <v>360</v>
      </c>
      <c r="W32" s="67">
        <f t="shared" si="18"/>
        <v>0</v>
      </c>
      <c r="X32" s="67">
        <f t="shared" si="15"/>
        <v>0</v>
      </c>
      <c r="Y32" s="67">
        <f t="shared" si="12"/>
        <v>0</v>
      </c>
      <c r="Z32" s="67">
        <f t="shared" si="16"/>
        <v>0</v>
      </c>
      <c r="AA32" s="67">
        <f t="shared" si="13"/>
        <v>0</v>
      </c>
      <c r="AB32" s="67">
        <f t="shared" si="7"/>
        <v>148200</v>
      </c>
      <c r="AC32" s="67">
        <f t="shared" si="14"/>
        <v>99851799.000000015</v>
      </c>
    </row>
    <row r="33" spans="1:29" x14ac:dyDescent="0.3">
      <c r="A33" s="75" t="s">
        <v>21</v>
      </c>
      <c r="B33" s="69"/>
      <c r="C33" s="69"/>
      <c r="D33" s="69"/>
      <c r="E33" s="69"/>
      <c r="F33" s="70">
        <f t="shared" si="0"/>
        <v>0</v>
      </c>
      <c r="G33" s="71">
        <f t="shared" si="8"/>
        <v>0</v>
      </c>
      <c r="H33" s="71">
        <f t="shared" si="1"/>
        <v>0</v>
      </c>
      <c r="I33" s="69"/>
      <c r="J33" s="71">
        <f t="shared" si="2"/>
        <v>0</v>
      </c>
      <c r="K33" s="71">
        <f t="shared" si="3"/>
        <v>0</v>
      </c>
      <c r="L33" s="69"/>
      <c r="M33" s="69"/>
      <c r="N33" s="71">
        <f t="shared" si="9"/>
        <v>0</v>
      </c>
      <c r="O33" s="69"/>
      <c r="P33" s="70">
        <f t="shared" si="4"/>
        <v>0</v>
      </c>
      <c r="Q33" s="41"/>
      <c r="R33" s="41"/>
      <c r="U33" s="73">
        <f>IF(S33=0,0,DAYS360(S33,T33,1)+1)</f>
        <v>0</v>
      </c>
      <c r="V33" s="73">
        <f t="shared" si="11"/>
        <v>360</v>
      </c>
      <c r="W33" s="67">
        <f t="shared" si="18"/>
        <v>0</v>
      </c>
      <c r="X33" s="67">
        <f t="shared" si="15"/>
        <v>0</v>
      </c>
      <c r="Y33" s="67">
        <f t="shared" si="12"/>
        <v>0</v>
      </c>
      <c r="Z33" s="67">
        <f t="shared" si="16"/>
        <v>0</v>
      </c>
      <c r="AA33" s="67">
        <f t="shared" si="13"/>
        <v>0</v>
      </c>
      <c r="AB33" s="67">
        <f t="shared" si="7"/>
        <v>148200</v>
      </c>
      <c r="AC33" s="67">
        <f t="shared" si="14"/>
        <v>99851799.000000015</v>
      </c>
    </row>
    <row r="34" spans="1:29" s="16" customFormat="1" x14ac:dyDescent="0.3">
      <c r="A34" s="63"/>
      <c r="B34" s="63"/>
      <c r="C34" s="63"/>
      <c r="D34" s="63"/>
      <c r="E34" s="63"/>
      <c r="F34" s="63"/>
      <c r="G34" s="66"/>
      <c r="H34" s="66"/>
      <c r="I34" s="63"/>
      <c r="J34" s="66"/>
      <c r="K34" s="66"/>
      <c r="L34" s="66"/>
      <c r="M34" s="66"/>
      <c r="N34" s="63"/>
      <c r="O34" s="63"/>
      <c r="P34" s="63"/>
      <c r="U34" s="76"/>
      <c r="V34" s="76"/>
      <c r="W34" s="76"/>
      <c r="X34" s="76"/>
      <c r="Y34" s="76"/>
      <c r="Z34" s="67"/>
    </row>
    <row r="35" spans="1:29" s="26" customFormat="1" ht="17.25" thickBot="1" x14ac:dyDescent="0.35">
      <c r="A35" s="77" t="s">
        <v>0</v>
      </c>
      <c r="B35" s="78">
        <f>SUM(B20:B33)</f>
        <v>0</v>
      </c>
      <c r="C35" s="78">
        <f t="shared" ref="C35:P35" si="19">SUM(C20:C33)</f>
        <v>0</v>
      </c>
      <c r="D35" s="78">
        <f t="shared" si="19"/>
        <v>0</v>
      </c>
      <c r="E35" s="78">
        <f t="shared" si="19"/>
        <v>0</v>
      </c>
      <c r="F35" s="78">
        <f t="shared" si="19"/>
        <v>0</v>
      </c>
      <c r="G35" s="78">
        <f t="shared" si="19"/>
        <v>0</v>
      </c>
      <c r="H35" s="78">
        <f t="shared" si="19"/>
        <v>0</v>
      </c>
      <c r="I35" s="78">
        <f t="shared" si="19"/>
        <v>0</v>
      </c>
      <c r="J35" s="78">
        <f t="shared" si="19"/>
        <v>0</v>
      </c>
      <c r="K35" s="78">
        <f t="shared" si="19"/>
        <v>0</v>
      </c>
      <c r="L35" s="78">
        <f t="shared" si="19"/>
        <v>0</v>
      </c>
      <c r="M35" s="78">
        <f t="shared" si="19"/>
        <v>0</v>
      </c>
      <c r="N35" s="78">
        <f t="shared" si="19"/>
        <v>0</v>
      </c>
      <c r="O35" s="78">
        <f t="shared" si="19"/>
        <v>0</v>
      </c>
      <c r="P35" s="78">
        <f t="shared" si="19"/>
        <v>0</v>
      </c>
      <c r="Q35" s="79"/>
      <c r="U35" s="80">
        <f>SUM(U20:U34)</f>
        <v>360</v>
      </c>
      <c r="V35" s="80"/>
      <c r="W35" s="67">
        <f>SUM(W20:W31)</f>
        <v>0</v>
      </c>
      <c r="X35" s="67">
        <f>SUM(X20:X31)</f>
        <v>0</v>
      </c>
      <c r="Y35" s="80"/>
      <c r="Z35" s="80"/>
    </row>
    <row r="36" spans="1:29" s="81" customFormat="1" ht="15.75" customHeight="1" thickTop="1" x14ac:dyDescent="0.15">
      <c r="B36" s="82"/>
      <c r="C36" s="82"/>
      <c r="D36" s="82"/>
      <c r="E36" s="82"/>
      <c r="F36" s="98" t="str">
        <f>IF(H36="","","Total AHV+ALV:")</f>
        <v/>
      </c>
      <c r="G36" s="98"/>
      <c r="H36" s="139" t="str">
        <f>IF(G35=0,"",G35+H35)</f>
        <v/>
      </c>
      <c r="I36" s="98" t="str">
        <f>IF(H36="","","Total AHV+ALV+NBU:")</f>
        <v/>
      </c>
      <c r="J36" s="98"/>
      <c r="K36" s="98"/>
      <c r="L36" s="139" t="str">
        <f>IF(G35=0,"",H36+J35)</f>
        <v/>
      </c>
      <c r="M36" s="82"/>
      <c r="N36" s="82"/>
      <c r="O36" s="82"/>
      <c r="P36" s="82"/>
      <c r="Q36" s="82"/>
      <c r="R36" s="82"/>
      <c r="V36" s="83"/>
      <c r="W36" s="83"/>
      <c r="X36" s="83"/>
      <c r="Y36" s="83"/>
      <c r="Z36" s="83"/>
      <c r="AA36" s="83"/>
    </row>
    <row r="37" spans="1:29" x14ac:dyDescent="0.3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29" x14ac:dyDescent="0.3">
      <c r="A38" s="26" t="s">
        <v>35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1:29" x14ac:dyDescent="0.3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28"/>
      <c r="R39" s="27"/>
      <c r="S39" s="41">
        <f>R31+1</f>
        <v>46023</v>
      </c>
    </row>
    <row r="40" spans="1:29" x14ac:dyDescent="0.3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28"/>
      <c r="R40" s="27"/>
    </row>
    <row r="41" spans="1:29" x14ac:dyDescent="0.3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28"/>
      <c r="R41" s="27"/>
    </row>
    <row r="42" spans="1:29" x14ac:dyDescent="0.3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28"/>
      <c r="R42" s="27"/>
    </row>
    <row r="43" spans="1:29" x14ac:dyDescent="0.3">
      <c r="A43" s="113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88"/>
      <c r="R43" s="27"/>
    </row>
    <row r="44" spans="1:29" x14ac:dyDescent="0.3">
      <c r="A44" s="113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28"/>
    </row>
    <row r="45" spans="1:29" x14ac:dyDescent="0.3">
      <c r="A45" s="113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28"/>
    </row>
    <row r="46" spans="1:29" x14ac:dyDescent="0.3">
      <c r="A46" s="113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28"/>
    </row>
    <row r="47" spans="1:29" x14ac:dyDescent="0.3">
      <c r="A47" s="113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28"/>
    </row>
    <row r="48" spans="1:29" x14ac:dyDescent="0.3">
      <c r="Q48" s="28"/>
    </row>
    <row r="50" spans="1:18" x14ac:dyDescent="0.3">
      <c r="A50" s="26"/>
      <c r="Q50" s="30"/>
    </row>
    <row r="51" spans="1:18" x14ac:dyDescent="0.3">
      <c r="A51" s="29"/>
      <c r="H51" s="84"/>
      <c r="Q51" s="30"/>
    </row>
    <row r="52" spans="1:18" x14ac:dyDescent="0.3">
      <c r="A52" s="31"/>
      <c r="Q52" s="85"/>
    </row>
    <row r="54" spans="1:18" x14ac:dyDescent="0.3">
      <c r="A54" s="26" t="s">
        <v>36</v>
      </c>
      <c r="Q54" s="27"/>
    </row>
    <row r="55" spans="1:18" x14ac:dyDescent="0.3">
      <c r="A55" s="113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28"/>
    </row>
    <row r="56" spans="1:18" s="1" customFormat="1" x14ac:dyDescent="0.3">
      <c r="A56" s="113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28"/>
    </row>
    <row r="57" spans="1:18" s="1" customFormat="1" x14ac:dyDescent="0.3">
      <c r="A57" s="113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28"/>
    </row>
    <row r="58" spans="1:18" x14ac:dyDescent="0.3">
      <c r="A58" s="113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28"/>
      <c r="R58" s="28"/>
    </row>
    <row r="59" spans="1:18" s="1" customFormat="1" x14ac:dyDescent="0.3">
      <c r="A59" s="113"/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28"/>
      <c r="R59" s="28"/>
    </row>
    <row r="60" spans="1:18" s="1" customFormat="1" x14ac:dyDescent="0.3">
      <c r="A60" s="113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28"/>
      <c r="R60" s="28"/>
    </row>
    <row r="61" spans="1:18" x14ac:dyDescent="0.3">
      <c r="A61" s="113"/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28"/>
      <c r="R61" s="28"/>
    </row>
    <row r="62" spans="1:18" s="1" customFormat="1" x14ac:dyDescent="0.3">
      <c r="A62" s="113"/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28"/>
      <c r="R62" s="28"/>
    </row>
    <row r="63" spans="1:18" s="1" customFormat="1" x14ac:dyDescent="0.3">
      <c r="A63" s="113"/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28"/>
      <c r="R63" s="28"/>
    </row>
    <row r="64" spans="1:18" x14ac:dyDescent="0.3">
      <c r="A64" s="113"/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28"/>
      <c r="R64" s="28"/>
    </row>
    <row r="65" spans="1:18" s="1" customFormat="1" x14ac:dyDescent="0.3">
      <c r="A65" s="113"/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28"/>
      <c r="R65" s="28"/>
    </row>
    <row r="66" spans="1:18" s="1" customFormat="1" x14ac:dyDescent="0.3">
      <c r="A66" s="113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28"/>
      <c r="R66" s="28"/>
    </row>
    <row r="67" spans="1:18" s="1" customFormat="1" x14ac:dyDescent="0.3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</row>
    <row r="68" spans="1:18" s="1" customFormat="1" x14ac:dyDescent="0.3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x14ac:dyDescent="0.3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</row>
    <row r="70" spans="1:18" x14ac:dyDescent="0.3">
      <c r="R70" s="28"/>
    </row>
  </sheetData>
  <sheetProtection algorithmName="SHA-512" hashValue="tvSmynryoxXO7BUQMh0JB/LHr0qGJ5Nyt6at7pgtPGZPvu3KfB7m7xmUKouANvUxWMsgggKc3rDtLgevxouM2Q==" saltValue="mgbIQ+lbUJhAPGGfzF1OEA==" spinCount="100000" sheet="1" objects="1" scenarios="1"/>
  <mergeCells count="52">
    <mergeCell ref="Q17:R17"/>
    <mergeCell ref="S17:T17"/>
    <mergeCell ref="F36:G36"/>
    <mergeCell ref="I36:K36"/>
    <mergeCell ref="M16:M17"/>
    <mergeCell ref="N16:N18"/>
    <mergeCell ref="O16:O18"/>
    <mergeCell ref="P16:P18"/>
    <mergeCell ref="J16:J17"/>
    <mergeCell ref="H16:H17"/>
    <mergeCell ref="I16:I18"/>
    <mergeCell ref="L16:L17"/>
    <mergeCell ref="F16:F18"/>
    <mergeCell ref="G16:G17"/>
    <mergeCell ref="K16:K17"/>
    <mergeCell ref="A44:P44"/>
    <mergeCell ref="A45:P45"/>
    <mergeCell ref="A40:P40"/>
    <mergeCell ref="A41:P41"/>
    <mergeCell ref="A42:P42"/>
    <mergeCell ref="A47:P47"/>
    <mergeCell ref="H4:I4"/>
    <mergeCell ref="C5:E5"/>
    <mergeCell ref="H5:I5"/>
    <mergeCell ref="C6:E6"/>
    <mergeCell ref="C9:D9"/>
    <mergeCell ref="C4:E4"/>
    <mergeCell ref="C7:E7"/>
    <mergeCell ref="A39:P39"/>
    <mergeCell ref="A16:A18"/>
    <mergeCell ref="B16:B18"/>
    <mergeCell ref="C16:C18"/>
    <mergeCell ref="C10:D10"/>
    <mergeCell ref="C12:D12"/>
    <mergeCell ref="A46:P46"/>
    <mergeCell ref="A43:P43"/>
    <mergeCell ref="D15:G15"/>
    <mergeCell ref="H10:L10"/>
    <mergeCell ref="A65:P65"/>
    <mergeCell ref="A66:P66"/>
    <mergeCell ref="A60:P60"/>
    <mergeCell ref="A61:P61"/>
    <mergeCell ref="A62:P62"/>
    <mergeCell ref="A63:P63"/>
    <mergeCell ref="A64:P64"/>
    <mergeCell ref="A55:P55"/>
    <mergeCell ref="A56:P56"/>
    <mergeCell ref="A57:P57"/>
    <mergeCell ref="A58:P58"/>
    <mergeCell ref="A59:P59"/>
    <mergeCell ref="D16:D18"/>
    <mergeCell ref="E16:E18"/>
  </mergeCells>
  <phoneticPr fontId="0" type="noConversion"/>
  <dataValidations count="1">
    <dataValidation type="textLength" operator="equal" allowBlank="1" showInputMessage="1" showErrorMessage="1" errorTitle="Bitte korrigieren:" error="m = männlich_x000a_w = weiblich" sqref="I7" xr:uid="{00000000-0002-0000-0A00-000000000000}">
      <formula1>1</formula1>
    </dataValidation>
  </dataValidations>
  <printOptions horizontalCentered="1"/>
  <pageMargins left="1.0629921259842521" right="0.78740157480314965" top="0.59055118110236227" bottom="0.59055118110236227" header="0.51181102362204722" footer="0.31496062992125984"/>
  <pageSetup paperSize="9" scale="63" orientation="landscape" r:id="rId1"/>
  <headerFooter>
    <oddFooter>&amp;L&amp;G&amp;C&amp;"Segoe UI Semilight,Standard"&amp;K1D71B8Bern | Biel/Bienne&amp;R&amp;"Segoe UI Semilight,Standard"&amp;K1D71B8strasser-ag.ch</oddFooter>
  </headerFooter>
  <legacy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1:Q69"/>
  <sheetViews>
    <sheetView showGridLines="0" zoomScale="90" zoomScaleNormal="90" workbookViewId="0">
      <selection activeCell="C8" sqref="C8"/>
    </sheetView>
  </sheetViews>
  <sheetFormatPr baseColWidth="10" defaultColWidth="11.28515625" defaultRowHeight="16.5" x14ac:dyDescent="0.3"/>
  <cols>
    <col min="1" max="1" width="16" style="25" customWidth="1"/>
    <col min="2" max="15" width="12.140625" style="25" customWidth="1"/>
    <col min="16" max="16" width="11.5703125" style="25" bestFit="1" customWidth="1"/>
    <col min="17" max="17" width="11.7109375" style="25" customWidth="1"/>
    <col min="18" max="29" width="11.28515625" style="25" customWidth="1"/>
    <col min="30" max="16384" width="11.28515625" style="25"/>
  </cols>
  <sheetData>
    <row r="1" spans="1:17" s="34" customFormat="1" ht="20.25" x14ac:dyDescent="0.35">
      <c r="A1" s="32" t="s">
        <v>42</v>
      </c>
      <c r="B1" s="33">
        <f>Jahr</f>
        <v>2025</v>
      </c>
      <c r="P1" s="86">
        <f>Firma</f>
        <v>0</v>
      </c>
    </row>
    <row r="2" spans="1:17" s="34" customFormat="1" ht="20.25" x14ac:dyDescent="0.35">
      <c r="E2" s="36"/>
      <c r="P2" s="86">
        <f>Ort</f>
        <v>0</v>
      </c>
    </row>
    <row r="3" spans="1:17" s="34" customFormat="1" x14ac:dyDescent="0.3">
      <c r="Q3" s="37"/>
    </row>
    <row r="4" spans="1:17" x14ac:dyDescent="0.3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ht="20.25" x14ac:dyDescent="0.35">
      <c r="A5" s="32" t="s">
        <v>53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x14ac:dyDescent="0.3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x14ac:dyDescent="0.3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7" x14ac:dyDescent="0.3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7" x14ac:dyDescent="0.3"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7" s="16" customFormat="1" ht="12.75" customHeight="1" x14ac:dyDescent="0.25">
      <c r="A10" s="104" t="s">
        <v>9</v>
      </c>
      <c r="B10" s="104" t="str">
        <f>Zusammenstellung!C21</f>
        <v>AHV-Lohn</v>
      </c>
      <c r="C10" s="104" t="str">
        <f>Zusammenstellung!D21</f>
        <v>nicht AHV-pflichtig</v>
      </c>
      <c r="D10" s="104" t="str">
        <f>Zusammenstellung!E21</f>
        <v>Unfall- und
Kranken-
taggeld</v>
      </c>
      <c r="E10" s="104" t="str">
        <f>Zusammenstellung!F21</f>
        <v>Kinder-
zulagen</v>
      </c>
      <c r="F10" s="104" t="str">
        <f>Zusammenstellung!G21</f>
        <v>Total Bruttolohn</v>
      </c>
      <c r="G10" s="99" t="str">
        <f>Zusammenstellung!H21</f>
        <v>AHV</v>
      </c>
      <c r="H10" s="99" t="str">
        <f>Zusammenstellung!I21</f>
        <v>ALV</v>
      </c>
      <c r="I10" s="104" t="str">
        <f>Zusammenstellung!J21</f>
        <v>BVG</v>
      </c>
      <c r="J10" s="99" t="str">
        <f>Zusammenstellung!K21</f>
        <v>NBU</v>
      </c>
      <c r="K10" s="99" t="str">
        <f>Zusammenstellung!L21</f>
        <v>KTG</v>
      </c>
      <c r="L10" s="102"/>
      <c r="M10" s="102"/>
      <c r="N10" s="104" t="str">
        <f>Zusammenstellung!O21</f>
        <v>Nettolohn</v>
      </c>
      <c r="O10" s="104" t="str">
        <f>Zusammenstellung!P21</f>
        <v xml:space="preserve">Spesen </v>
      </c>
      <c r="P10" s="104" t="str">
        <f>Zusammenstellung!Q21</f>
        <v>Auszahlung</v>
      </c>
    </row>
    <row r="11" spans="1:17" s="16" customFormat="1" ht="14.25" x14ac:dyDescent="0.25">
      <c r="A11" s="105"/>
      <c r="B11" s="105"/>
      <c r="C11" s="105"/>
      <c r="D11" s="105"/>
      <c r="E11" s="105"/>
      <c r="F11" s="105"/>
      <c r="G11" s="100"/>
      <c r="H11" s="100"/>
      <c r="I11" s="105"/>
      <c r="J11" s="100"/>
      <c r="K11" s="100"/>
      <c r="L11" s="138"/>
      <c r="M11" s="138"/>
      <c r="N11" s="105"/>
      <c r="O11" s="105"/>
      <c r="P11" s="105"/>
    </row>
    <row r="12" spans="1:17" s="16" customFormat="1" ht="14.25" x14ac:dyDescent="0.25">
      <c r="A12" s="106"/>
      <c r="B12" s="106"/>
      <c r="C12" s="106"/>
      <c r="D12" s="106"/>
      <c r="E12" s="106"/>
      <c r="F12" s="106"/>
      <c r="G12" s="101"/>
      <c r="H12" s="101"/>
      <c r="I12" s="106"/>
      <c r="J12" s="101"/>
      <c r="K12" s="101"/>
      <c r="L12" s="92"/>
      <c r="M12" s="92"/>
      <c r="N12" s="106"/>
      <c r="O12" s="106"/>
      <c r="P12" s="106"/>
    </row>
    <row r="13" spans="1:17" s="16" customFormat="1" ht="14.25" x14ac:dyDescent="0.15">
      <c r="A13" s="63"/>
      <c r="B13" s="63"/>
      <c r="C13" s="63"/>
      <c r="D13" s="63"/>
      <c r="E13" s="63"/>
      <c r="F13" s="63"/>
      <c r="G13" s="66"/>
      <c r="H13" s="66"/>
      <c r="I13" s="63"/>
      <c r="J13" s="66"/>
      <c r="K13" s="66"/>
      <c r="L13" s="66"/>
      <c r="M13" s="66"/>
      <c r="N13" s="63"/>
      <c r="O13" s="63"/>
      <c r="P13" s="63"/>
    </row>
    <row r="14" spans="1:17" x14ac:dyDescent="0.3">
      <c r="A14" s="68">
        <v>38383</v>
      </c>
      <c r="B14" s="71">
        <f>'Ang1'!B20+'Ang2'!B20+'Ang3'!B20+'Ang4'!B20+'Ang5'!B20+'Ang6'!B20+'Ang7'!B20+'Ang8'!B20+'Ang9'!B20+'Ang10'!B20</f>
        <v>0</v>
      </c>
      <c r="C14" s="71">
        <f>'Ang1'!C20+'Ang2'!C20+'Ang3'!C20+'Ang4'!C20+'Ang5'!C20+'Ang6'!C20+'Ang7'!C20+'Ang8'!C20+'Ang9'!C20+'Ang10'!C20</f>
        <v>0</v>
      </c>
      <c r="D14" s="71">
        <f>'Ang1'!D20+'Ang2'!D20+'Ang3'!D20+'Ang4'!D20+'Ang5'!D20+'Ang6'!D20+'Ang7'!D20+'Ang8'!D20+'Ang9'!D20+'Ang10'!D20</f>
        <v>0</v>
      </c>
      <c r="E14" s="71">
        <f>'Ang1'!E20+'Ang2'!E20+'Ang3'!E20+'Ang4'!E20+'Ang5'!E20+'Ang6'!E20+'Ang7'!E20+'Ang8'!E20+'Ang9'!E20+'Ang10'!E20</f>
        <v>0</v>
      </c>
      <c r="F14" s="70">
        <f>'Ang1'!F20+'Ang2'!F20+'Ang3'!F20+'Ang4'!F20+'Ang5'!F20+'Ang6'!F20+'Ang7'!F20+'Ang8'!F20+'Ang9'!F20+'Ang10'!F20</f>
        <v>0</v>
      </c>
      <c r="G14" s="71">
        <f>'Ang1'!G20+'Ang2'!G20+'Ang3'!G20+'Ang4'!G20+'Ang5'!G20+'Ang6'!G20+'Ang7'!G20+'Ang8'!G20+'Ang9'!G20+'Ang10'!G20</f>
        <v>0</v>
      </c>
      <c r="H14" s="71">
        <f>'Ang1'!H20+'Ang2'!H20+'Ang3'!H20+'Ang4'!H20+'Ang5'!H20+'Ang6'!H20+'Ang7'!H20+'Ang8'!H20+'Ang9'!H20+'Ang10'!H20</f>
        <v>0</v>
      </c>
      <c r="I14" s="71">
        <f>'Ang1'!I20+'Ang2'!I20+'Ang3'!I20+'Ang4'!I20+'Ang5'!I20+'Ang6'!I20+'Ang7'!I20+'Ang8'!I20+'Ang9'!I20+'Ang10'!I20</f>
        <v>0</v>
      </c>
      <c r="J14" s="71">
        <f>'Ang1'!J20+'Ang2'!J20+'Ang3'!J20+'Ang4'!J20+'Ang5'!J20+'Ang6'!J20+'Ang7'!J20+'Ang8'!J20+'Ang9'!J20+'Ang10'!J20</f>
        <v>0</v>
      </c>
      <c r="K14" s="71">
        <f>'Ang1'!K20+'Ang2'!K20+'Ang3'!K20+'Ang4'!K20+'Ang5'!K20+'Ang6'!K20+'Ang7'!K20+'Ang8'!K20+'Ang9'!K20+'Ang10'!K20</f>
        <v>0</v>
      </c>
      <c r="L14" s="71">
        <f>'Ang1'!L20+'Ang2'!L20+'Ang3'!L20+'Ang4'!L20+'Ang5'!L20+'Ang6'!L20+'Ang7'!L20+'Ang8'!L20+'Ang9'!L20+'Ang10'!L20</f>
        <v>0</v>
      </c>
      <c r="M14" s="71">
        <f>'Ang1'!M20+'Ang2'!M20+'Ang3'!M20+'Ang4'!M20+'Ang5'!M20+'Ang6'!M20+'Ang7'!M20+'Ang8'!M20+'Ang9'!M20+'Ang10'!M20</f>
        <v>0</v>
      </c>
      <c r="N14" s="71">
        <f>'Ang1'!N20+'Ang2'!N20+'Ang3'!N20+'Ang4'!N20+'Ang5'!N20+'Ang6'!N20+'Ang7'!N20+'Ang8'!N20+'Ang9'!N20+'Ang10'!N20</f>
        <v>0</v>
      </c>
      <c r="O14" s="71">
        <f>'Ang1'!O20+'Ang2'!O20+'Ang3'!O20+'Ang4'!O20+'Ang5'!O20+'Ang6'!O20+'Ang7'!O20+'Ang8'!O20+'Ang9'!O20+'Ang10'!O20</f>
        <v>0</v>
      </c>
      <c r="P14" s="70">
        <f>'Ang1'!P20+'Ang2'!P20+'Ang3'!P20+'Ang4'!P20+'Ang5'!P20+'Ang6'!P20+'Ang7'!P20+'Ang8'!P20+'Ang9'!P20+'Ang10'!P20</f>
        <v>0</v>
      </c>
    </row>
    <row r="15" spans="1:17" x14ac:dyDescent="0.3">
      <c r="A15" s="68">
        <v>38411</v>
      </c>
      <c r="B15" s="71">
        <f>'Ang1'!B21+'Ang2'!B21+'Ang3'!B21+'Ang4'!B21+'Ang5'!B21+'Ang6'!B21+'Ang7'!B21+'Ang8'!B21+'Ang9'!B21+'Ang10'!B21</f>
        <v>0</v>
      </c>
      <c r="C15" s="71">
        <f>'Ang1'!C21+'Ang2'!C21+'Ang3'!C21+'Ang4'!C21+'Ang5'!C21+'Ang6'!C21+'Ang7'!C21+'Ang8'!C21+'Ang9'!C21+'Ang10'!C21</f>
        <v>0</v>
      </c>
      <c r="D15" s="71">
        <f>'Ang1'!D21+'Ang2'!D21+'Ang3'!D21+'Ang4'!D21+'Ang5'!D21+'Ang6'!D21+'Ang7'!D21+'Ang8'!D21+'Ang9'!D21+'Ang10'!D21</f>
        <v>0</v>
      </c>
      <c r="E15" s="71">
        <f>'Ang1'!E21+'Ang2'!E21+'Ang3'!E21+'Ang4'!E21+'Ang5'!E21+'Ang6'!E21+'Ang7'!E21+'Ang8'!E21+'Ang9'!E21+'Ang10'!E21</f>
        <v>0</v>
      </c>
      <c r="F15" s="70">
        <f>'Ang1'!F21+'Ang2'!F21+'Ang3'!F21+'Ang4'!F21+'Ang5'!F21+'Ang6'!F21+'Ang7'!F21+'Ang8'!F21+'Ang9'!F21+'Ang10'!F21</f>
        <v>0</v>
      </c>
      <c r="G15" s="71">
        <f>'Ang1'!G21+'Ang2'!G21+'Ang3'!G21+'Ang4'!G21+'Ang5'!G21+'Ang6'!G21+'Ang7'!G21+'Ang8'!G21+'Ang9'!G21+'Ang10'!G21</f>
        <v>0</v>
      </c>
      <c r="H15" s="71">
        <f>'Ang1'!H21+'Ang2'!H21+'Ang3'!H21+'Ang4'!H21+'Ang5'!H21+'Ang6'!H21+'Ang7'!H21+'Ang8'!H21+'Ang9'!H21+'Ang10'!H21</f>
        <v>0</v>
      </c>
      <c r="I15" s="71">
        <f>'Ang1'!I21+'Ang2'!I21+'Ang3'!I21+'Ang4'!I21+'Ang5'!I21+'Ang6'!I21+'Ang7'!I21+'Ang8'!I21+'Ang9'!I21+'Ang10'!I21</f>
        <v>0</v>
      </c>
      <c r="J15" s="71">
        <f>'Ang1'!J21+'Ang2'!J21+'Ang3'!J21+'Ang4'!J21+'Ang5'!J21+'Ang6'!J21+'Ang7'!J21+'Ang8'!J21+'Ang9'!J21+'Ang10'!J21</f>
        <v>0</v>
      </c>
      <c r="K15" s="71">
        <f>'Ang1'!K21+'Ang2'!K21+'Ang3'!K21+'Ang4'!K21+'Ang5'!K21+'Ang6'!K21+'Ang7'!K21+'Ang8'!K21+'Ang9'!K21+'Ang10'!K21</f>
        <v>0</v>
      </c>
      <c r="L15" s="71">
        <f>'Ang1'!L21+'Ang2'!L21+'Ang3'!L21+'Ang4'!L21+'Ang5'!L21+'Ang6'!L21+'Ang7'!L21+'Ang8'!L21+'Ang9'!L21+'Ang10'!L21</f>
        <v>0</v>
      </c>
      <c r="M15" s="71">
        <f>'Ang1'!M21+'Ang2'!M21+'Ang3'!M21+'Ang4'!M21+'Ang5'!M21+'Ang6'!M21+'Ang7'!M21+'Ang8'!M21+'Ang9'!M21+'Ang10'!M21</f>
        <v>0</v>
      </c>
      <c r="N15" s="71">
        <f>'Ang1'!N21+'Ang2'!N21+'Ang3'!N21+'Ang4'!N21+'Ang5'!N21+'Ang6'!N21+'Ang7'!N21+'Ang8'!N21+'Ang9'!N21+'Ang10'!N21</f>
        <v>0</v>
      </c>
      <c r="O15" s="71">
        <f>'Ang1'!O21+'Ang2'!O21+'Ang3'!O21+'Ang4'!O21+'Ang5'!O21+'Ang6'!O21+'Ang7'!O21+'Ang8'!O21+'Ang9'!O21+'Ang10'!O21</f>
        <v>0</v>
      </c>
      <c r="P15" s="70">
        <f>'Ang1'!P21+'Ang2'!P21+'Ang3'!P21+'Ang4'!P21+'Ang5'!P21+'Ang6'!P21+'Ang7'!P21+'Ang8'!P21+'Ang9'!P21+'Ang10'!P21</f>
        <v>0</v>
      </c>
    </row>
    <row r="16" spans="1:17" x14ac:dyDescent="0.3">
      <c r="A16" s="87">
        <v>38442</v>
      </c>
      <c r="B16" s="71">
        <f>'Ang1'!B22+'Ang2'!B22+'Ang3'!B22+'Ang4'!B22+'Ang5'!B22+'Ang6'!B22+'Ang7'!B22+'Ang8'!B22+'Ang9'!B22+'Ang10'!B22</f>
        <v>0</v>
      </c>
      <c r="C16" s="71">
        <f>'Ang1'!C22+'Ang2'!C22+'Ang3'!C22+'Ang4'!C22+'Ang5'!C22+'Ang6'!C22+'Ang7'!C22+'Ang8'!C22+'Ang9'!C22+'Ang10'!C22</f>
        <v>0</v>
      </c>
      <c r="D16" s="71">
        <f>'Ang1'!D22+'Ang2'!D22+'Ang3'!D22+'Ang4'!D22+'Ang5'!D22+'Ang6'!D22+'Ang7'!D22+'Ang8'!D22+'Ang9'!D22+'Ang10'!D22</f>
        <v>0</v>
      </c>
      <c r="E16" s="71">
        <f>'Ang1'!E22+'Ang2'!E22+'Ang3'!E22+'Ang4'!E22+'Ang5'!E22+'Ang6'!E22+'Ang7'!E22+'Ang8'!E22+'Ang9'!E22+'Ang10'!E22</f>
        <v>0</v>
      </c>
      <c r="F16" s="70">
        <f>'Ang1'!F22+'Ang2'!F22+'Ang3'!F22+'Ang4'!F22+'Ang5'!F22+'Ang6'!F22+'Ang7'!F22+'Ang8'!F22+'Ang9'!F22+'Ang10'!F22</f>
        <v>0</v>
      </c>
      <c r="G16" s="71">
        <f>'Ang1'!G22+'Ang2'!G22+'Ang3'!G22+'Ang4'!G22+'Ang5'!G22+'Ang6'!G22+'Ang7'!G22+'Ang8'!G22+'Ang9'!G22+'Ang10'!G22</f>
        <v>0</v>
      </c>
      <c r="H16" s="71">
        <f>'Ang1'!H22+'Ang2'!H22+'Ang3'!H22+'Ang4'!H22+'Ang5'!H22+'Ang6'!H22+'Ang7'!H22+'Ang8'!H22+'Ang9'!H22+'Ang10'!H22</f>
        <v>0</v>
      </c>
      <c r="I16" s="71">
        <f>'Ang1'!I22+'Ang2'!I22+'Ang3'!I22+'Ang4'!I22+'Ang5'!I22+'Ang6'!I22+'Ang7'!I22+'Ang8'!I22+'Ang9'!I22+'Ang10'!I22</f>
        <v>0</v>
      </c>
      <c r="J16" s="71">
        <f>'Ang1'!J22+'Ang2'!J22+'Ang3'!J22+'Ang4'!J22+'Ang5'!J22+'Ang6'!J22+'Ang7'!J22+'Ang8'!J22+'Ang9'!J22+'Ang10'!J22</f>
        <v>0</v>
      </c>
      <c r="K16" s="71">
        <f>'Ang1'!K22+'Ang2'!K22+'Ang3'!K22+'Ang4'!K22+'Ang5'!K22+'Ang6'!K22+'Ang7'!K22+'Ang8'!K22+'Ang9'!K22+'Ang10'!K22</f>
        <v>0</v>
      </c>
      <c r="L16" s="71">
        <f>'Ang1'!L22+'Ang2'!L22+'Ang3'!L22+'Ang4'!L22+'Ang5'!L22+'Ang6'!L22+'Ang7'!L22+'Ang8'!L22+'Ang9'!L22+'Ang10'!L22</f>
        <v>0</v>
      </c>
      <c r="M16" s="71">
        <f>'Ang1'!M22+'Ang2'!M22+'Ang3'!M22+'Ang4'!M22+'Ang5'!M22+'Ang6'!M22+'Ang7'!M22+'Ang8'!M22+'Ang9'!M22+'Ang10'!M22</f>
        <v>0</v>
      </c>
      <c r="N16" s="71">
        <f>'Ang1'!N22+'Ang2'!N22+'Ang3'!N22+'Ang4'!N22+'Ang5'!N22+'Ang6'!N22+'Ang7'!N22+'Ang8'!N22+'Ang9'!N22+'Ang10'!N22</f>
        <v>0</v>
      </c>
      <c r="O16" s="71">
        <f>'Ang1'!O22+'Ang2'!O22+'Ang3'!O22+'Ang4'!O22+'Ang5'!O22+'Ang6'!O22+'Ang7'!O22+'Ang8'!O22+'Ang9'!O22+'Ang10'!O22</f>
        <v>0</v>
      </c>
      <c r="P16" s="70">
        <f>'Ang1'!P22+'Ang2'!P22+'Ang3'!P22+'Ang4'!P22+'Ang5'!P22+'Ang6'!P22+'Ang7'!P22+'Ang8'!P22+'Ang9'!P22+'Ang10'!P22</f>
        <v>0</v>
      </c>
    </row>
    <row r="17" spans="1:16" x14ac:dyDescent="0.3">
      <c r="A17" s="87">
        <v>38472</v>
      </c>
      <c r="B17" s="71">
        <f>'Ang1'!B23+'Ang2'!B23+'Ang3'!B23+'Ang4'!B23+'Ang5'!B23+'Ang6'!B23+'Ang7'!B23+'Ang8'!B23+'Ang9'!B23+'Ang10'!B23</f>
        <v>0</v>
      </c>
      <c r="C17" s="71">
        <f>'Ang1'!C23+'Ang2'!C23+'Ang3'!C23+'Ang4'!C23+'Ang5'!C23+'Ang6'!C23+'Ang7'!C23+'Ang8'!C23+'Ang9'!C23+'Ang10'!C23</f>
        <v>0</v>
      </c>
      <c r="D17" s="71">
        <f>'Ang1'!D23+'Ang2'!D23+'Ang3'!D23+'Ang4'!D23+'Ang5'!D23+'Ang6'!D23+'Ang7'!D23+'Ang8'!D23+'Ang9'!D23+'Ang10'!D23</f>
        <v>0</v>
      </c>
      <c r="E17" s="71">
        <f>'Ang1'!E23+'Ang2'!E23+'Ang3'!E23+'Ang4'!E23+'Ang5'!E23+'Ang6'!E23+'Ang7'!E23+'Ang8'!E23+'Ang9'!E23+'Ang10'!E23</f>
        <v>0</v>
      </c>
      <c r="F17" s="70">
        <f>'Ang1'!F23+'Ang2'!F23+'Ang3'!F23+'Ang4'!F23+'Ang5'!F23+'Ang6'!F23+'Ang7'!F23+'Ang8'!F23+'Ang9'!F23+'Ang10'!F23</f>
        <v>0</v>
      </c>
      <c r="G17" s="71">
        <f>'Ang1'!G23+'Ang2'!G23+'Ang3'!G23+'Ang4'!G23+'Ang5'!G23+'Ang6'!G23+'Ang7'!G23+'Ang8'!G23+'Ang9'!G23+'Ang10'!G23</f>
        <v>0</v>
      </c>
      <c r="H17" s="71">
        <f>'Ang1'!H23+'Ang2'!H23+'Ang3'!H23+'Ang4'!H23+'Ang5'!H23+'Ang6'!H23+'Ang7'!H23+'Ang8'!H23+'Ang9'!H23+'Ang10'!H23</f>
        <v>0</v>
      </c>
      <c r="I17" s="71">
        <f>'Ang1'!I23+'Ang2'!I23+'Ang3'!I23+'Ang4'!I23+'Ang5'!I23+'Ang6'!I23+'Ang7'!I23+'Ang8'!I23+'Ang9'!I23+'Ang10'!I23</f>
        <v>0</v>
      </c>
      <c r="J17" s="71">
        <f>'Ang1'!J23+'Ang2'!J23+'Ang3'!J23+'Ang4'!J23+'Ang5'!J23+'Ang6'!J23+'Ang7'!J23+'Ang8'!J23+'Ang9'!J23+'Ang10'!J23</f>
        <v>0</v>
      </c>
      <c r="K17" s="71">
        <f>'Ang1'!K23+'Ang2'!K23+'Ang3'!K23+'Ang4'!K23+'Ang5'!K23+'Ang6'!K23+'Ang7'!K23+'Ang8'!K23+'Ang9'!K23+'Ang10'!K23</f>
        <v>0</v>
      </c>
      <c r="L17" s="71">
        <f>'Ang1'!L23+'Ang2'!L23+'Ang3'!L23+'Ang4'!L23+'Ang5'!L23+'Ang6'!L23+'Ang7'!L23+'Ang8'!L23+'Ang9'!L23+'Ang10'!L23</f>
        <v>0</v>
      </c>
      <c r="M17" s="71">
        <f>'Ang1'!M23+'Ang2'!M23+'Ang3'!M23+'Ang4'!M23+'Ang5'!M23+'Ang6'!M23+'Ang7'!M23+'Ang8'!M23+'Ang9'!M23+'Ang10'!M23</f>
        <v>0</v>
      </c>
      <c r="N17" s="71">
        <f>'Ang1'!N23+'Ang2'!N23+'Ang3'!N23+'Ang4'!N23+'Ang5'!N23+'Ang6'!N23+'Ang7'!N23+'Ang8'!N23+'Ang9'!N23+'Ang10'!N23</f>
        <v>0</v>
      </c>
      <c r="O17" s="71">
        <f>'Ang1'!O23+'Ang2'!O23+'Ang3'!O23+'Ang4'!O23+'Ang5'!O23+'Ang6'!O23+'Ang7'!O23+'Ang8'!O23+'Ang9'!O23+'Ang10'!O23</f>
        <v>0</v>
      </c>
      <c r="P17" s="70">
        <f>'Ang1'!P23+'Ang2'!P23+'Ang3'!P23+'Ang4'!P23+'Ang5'!P23+'Ang6'!P23+'Ang7'!P23+'Ang8'!P23+'Ang9'!P23+'Ang10'!P23</f>
        <v>0</v>
      </c>
    </row>
    <row r="18" spans="1:16" x14ac:dyDescent="0.3">
      <c r="A18" s="87">
        <v>38503</v>
      </c>
      <c r="B18" s="71">
        <f>'Ang1'!B24+'Ang2'!B24+'Ang3'!B24+'Ang4'!B24+'Ang5'!B24+'Ang6'!B24+'Ang7'!B24+'Ang8'!B24+'Ang9'!B24+'Ang10'!B24</f>
        <v>0</v>
      </c>
      <c r="C18" s="71">
        <f>'Ang1'!C24+'Ang2'!C24+'Ang3'!C24+'Ang4'!C24+'Ang5'!C24+'Ang6'!C24+'Ang7'!C24+'Ang8'!C24+'Ang9'!C24+'Ang10'!C24</f>
        <v>0</v>
      </c>
      <c r="D18" s="71">
        <f>'Ang1'!D24+'Ang2'!D24+'Ang3'!D24+'Ang4'!D24+'Ang5'!D24+'Ang6'!D24+'Ang7'!D24+'Ang8'!D24+'Ang9'!D24+'Ang10'!D24</f>
        <v>0</v>
      </c>
      <c r="E18" s="71">
        <f>'Ang1'!E24+'Ang2'!E24+'Ang3'!E24+'Ang4'!E24+'Ang5'!E24+'Ang6'!E24+'Ang7'!E24+'Ang8'!E24+'Ang9'!E24+'Ang10'!E24</f>
        <v>0</v>
      </c>
      <c r="F18" s="70">
        <f>'Ang1'!F24+'Ang2'!F24+'Ang3'!F24+'Ang4'!F24+'Ang5'!F24+'Ang6'!F24+'Ang7'!F24+'Ang8'!F24+'Ang9'!F24+'Ang10'!F24</f>
        <v>0</v>
      </c>
      <c r="G18" s="71">
        <f>'Ang1'!G24+'Ang2'!G24+'Ang3'!G24+'Ang4'!G24+'Ang5'!G24+'Ang6'!G24+'Ang7'!G24+'Ang8'!G24+'Ang9'!G24+'Ang10'!G24</f>
        <v>0</v>
      </c>
      <c r="H18" s="71">
        <f>'Ang1'!H24+'Ang2'!H24+'Ang3'!H24+'Ang4'!H24+'Ang5'!H24+'Ang6'!H24+'Ang7'!H24+'Ang8'!H24+'Ang9'!H24+'Ang10'!H24</f>
        <v>0</v>
      </c>
      <c r="I18" s="71">
        <f>'Ang1'!I24+'Ang2'!I24+'Ang3'!I24+'Ang4'!I24+'Ang5'!I24+'Ang6'!I24+'Ang7'!I24+'Ang8'!I24+'Ang9'!I24+'Ang10'!I24</f>
        <v>0</v>
      </c>
      <c r="J18" s="71">
        <f>'Ang1'!J24+'Ang2'!J24+'Ang3'!J24+'Ang4'!J24+'Ang5'!J24+'Ang6'!J24+'Ang7'!J24+'Ang8'!J24+'Ang9'!J24+'Ang10'!J24</f>
        <v>0</v>
      </c>
      <c r="K18" s="71">
        <f>'Ang1'!K24+'Ang2'!K24+'Ang3'!K24+'Ang4'!K24+'Ang5'!K24+'Ang6'!K24+'Ang7'!K24+'Ang8'!K24+'Ang9'!K24+'Ang10'!K24</f>
        <v>0</v>
      </c>
      <c r="L18" s="71">
        <f>'Ang1'!L24+'Ang2'!L24+'Ang3'!L24+'Ang4'!L24+'Ang5'!L24+'Ang6'!L24+'Ang7'!L24+'Ang8'!L24+'Ang9'!L24+'Ang10'!L24</f>
        <v>0</v>
      </c>
      <c r="M18" s="71">
        <f>'Ang1'!M24+'Ang2'!M24+'Ang3'!M24+'Ang4'!M24+'Ang5'!M24+'Ang6'!M24+'Ang7'!M24+'Ang8'!M24+'Ang9'!M24+'Ang10'!M24</f>
        <v>0</v>
      </c>
      <c r="N18" s="71">
        <f>'Ang1'!N24+'Ang2'!N24+'Ang3'!N24+'Ang4'!N24+'Ang5'!N24+'Ang6'!N24+'Ang7'!N24+'Ang8'!N24+'Ang9'!N24+'Ang10'!N24</f>
        <v>0</v>
      </c>
      <c r="O18" s="71">
        <f>'Ang1'!O24+'Ang2'!O24+'Ang3'!O24+'Ang4'!O24+'Ang5'!O24+'Ang6'!O24+'Ang7'!O24+'Ang8'!O24+'Ang9'!O24+'Ang10'!O24</f>
        <v>0</v>
      </c>
      <c r="P18" s="70">
        <f>'Ang1'!P24+'Ang2'!P24+'Ang3'!P24+'Ang4'!P24+'Ang5'!P24+'Ang6'!P24+'Ang7'!P24+'Ang8'!P24+'Ang9'!P24+'Ang10'!P24</f>
        <v>0</v>
      </c>
    </row>
    <row r="19" spans="1:16" x14ac:dyDescent="0.3">
      <c r="A19" s="68">
        <v>38533</v>
      </c>
      <c r="B19" s="71">
        <f>'Ang1'!B25+'Ang2'!B25+'Ang3'!B25+'Ang4'!B25+'Ang5'!B25+'Ang6'!B25+'Ang7'!B25+'Ang8'!B25+'Ang9'!B25+'Ang10'!B25</f>
        <v>0</v>
      </c>
      <c r="C19" s="71">
        <f>'Ang1'!C25+'Ang2'!C25+'Ang3'!C25+'Ang4'!C25+'Ang5'!C25+'Ang6'!C25+'Ang7'!C25+'Ang8'!C25+'Ang9'!C25+'Ang10'!C25</f>
        <v>0</v>
      </c>
      <c r="D19" s="71">
        <f>'Ang1'!D25+'Ang2'!D25+'Ang3'!D25+'Ang4'!D25+'Ang5'!D25+'Ang6'!D25+'Ang7'!D25+'Ang8'!D25+'Ang9'!D25+'Ang10'!D25</f>
        <v>0</v>
      </c>
      <c r="E19" s="71">
        <f>'Ang1'!E25+'Ang2'!E25+'Ang3'!E25+'Ang4'!E25+'Ang5'!E25+'Ang6'!E25+'Ang7'!E25+'Ang8'!E25+'Ang9'!E25+'Ang10'!E25</f>
        <v>0</v>
      </c>
      <c r="F19" s="70">
        <f>'Ang1'!F25+'Ang2'!F25+'Ang3'!F25+'Ang4'!F25+'Ang5'!F25+'Ang6'!F25+'Ang7'!F25+'Ang8'!F25+'Ang9'!F25+'Ang10'!F25</f>
        <v>0</v>
      </c>
      <c r="G19" s="71">
        <f>'Ang1'!G25+'Ang2'!G25+'Ang3'!G25+'Ang4'!G25+'Ang5'!G25+'Ang6'!G25+'Ang7'!G25+'Ang8'!G25+'Ang9'!G25+'Ang10'!G25</f>
        <v>0</v>
      </c>
      <c r="H19" s="71">
        <f>'Ang1'!H25+'Ang2'!H25+'Ang3'!H25+'Ang4'!H25+'Ang5'!H25+'Ang6'!H25+'Ang7'!H25+'Ang8'!H25+'Ang9'!H25+'Ang10'!H25</f>
        <v>0</v>
      </c>
      <c r="I19" s="71">
        <f>'Ang1'!I25+'Ang2'!I25+'Ang3'!I25+'Ang4'!I25+'Ang5'!I25+'Ang6'!I25+'Ang7'!I25+'Ang8'!I25+'Ang9'!I25+'Ang10'!I25</f>
        <v>0</v>
      </c>
      <c r="J19" s="71">
        <f>'Ang1'!J25+'Ang2'!J25+'Ang3'!J25+'Ang4'!J25+'Ang5'!J25+'Ang6'!J25+'Ang7'!J25+'Ang8'!J25+'Ang9'!J25+'Ang10'!J25</f>
        <v>0</v>
      </c>
      <c r="K19" s="71">
        <f>'Ang1'!K25+'Ang2'!K25+'Ang3'!K25+'Ang4'!K25+'Ang5'!K25+'Ang6'!K25+'Ang7'!K25+'Ang8'!K25+'Ang9'!K25+'Ang10'!K25</f>
        <v>0</v>
      </c>
      <c r="L19" s="71">
        <f>'Ang1'!L25+'Ang2'!L25+'Ang3'!L25+'Ang4'!L25+'Ang5'!L25+'Ang6'!L25+'Ang7'!L25+'Ang8'!L25+'Ang9'!L25+'Ang10'!L25</f>
        <v>0</v>
      </c>
      <c r="M19" s="71">
        <f>'Ang1'!M25+'Ang2'!M25+'Ang3'!M25+'Ang4'!M25+'Ang5'!M25+'Ang6'!M25+'Ang7'!M25+'Ang8'!M25+'Ang9'!M25+'Ang10'!M25</f>
        <v>0</v>
      </c>
      <c r="N19" s="71">
        <f>'Ang1'!N25+'Ang2'!N25+'Ang3'!N25+'Ang4'!N25+'Ang5'!N25+'Ang6'!N25+'Ang7'!N25+'Ang8'!N25+'Ang9'!N25+'Ang10'!N25</f>
        <v>0</v>
      </c>
      <c r="O19" s="71">
        <f>'Ang1'!O25+'Ang2'!O25+'Ang3'!O25+'Ang4'!O25+'Ang5'!O25+'Ang6'!O25+'Ang7'!O25+'Ang8'!O25+'Ang9'!O25+'Ang10'!O25</f>
        <v>0</v>
      </c>
      <c r="P19" s="70">
        <f>'Ang1'!P25+'Ang2'!P25+'Ang3'!P25+'Ang4'!P25+'Ang5'!P25+'Ang6'!P25+'Ang7'!P25+'Ang8'!P25+'Ang9'!P25+'Ang10'!P25</f>
        <v>0</v>
      </c>
    </row>
    <row r="20" spans="1:16" x14ac:dyDescent="0.3">
      <c r="A20" s="68">
        <v>38564</v>
      </c>
      <c r="B20" s="71">
        <f>'Ang1'!B26+'Ang2'!B26+'Ang3'!B26+'Ang4'!B26+'Ang5'!B26+'Ang6'!B26+'Ang7'!B26+'Ang8'!B26+'Ang9'!B26+'Ang10'!B26</f>
        <v>0</v>
      </c>
      <c r="C20" s="71">
        <f>'Ang1'!C26+'Ang2'!C26+'Ang3'!C26+'Ang4'!C26+'Ang5'!C26+'Ang6'!C26+'Ang7'!C26+'Ang8'!C26+'Ang9'!C26+'Ang10'!C26</f>
        <v>0</v>
      </c>
      <c r="D20" s="71">
        <f>'Ang1'!D26+'Ang2'!D26+'Ang3'!D26+'Ang4'!D26+'Ang5'!D26+'Ang6'!D26+'Ang7'!D26+'Ang8'!D26+'Ang9'!D26+'Ang10'!D26</f>
        <v>0</v>
      </c>
      <c r="E20" s="71">
        <f>'Ang1'!E26+'Ang2'!E26+'Ang3'!E26+'Ang4'!E26+'Ang5'!E26+'Ang6'!E26+'Ang7'!E26+'Ang8'!E26+'Ang9'!E26+'Ang10'!E26</f>
        <v>0</v>
      </c>
      <c r="F20" s="70">
        <f>'Ang1'!F26+'Ang2'!F26+'Ang3'!F26+'Ang4'!F26+'Ang5'!F26+'Ang6'!F26+'Ang7'!F26+'Ang8'!F26+'Ang9'!F26+'Ang10'!F26</f>
        <v>0</v>
      </c>
      <c r="G20" s="71">
        <f>'Ang1'!G26+'Ang2'!G26+'Ang3'!G26+'Ang4'!G26+'Ang5'!G26+'Ang6'!G26+'Ang7'!G26+'Ang8'!G26+'Ang9'!G26+'Ang10'!G26</f>
        <v>0</v>
      </c>
      <c r="H20" s="71">
        <f>'Ang1'!H26+'Ang2'!H26+'Ang3'!H26+'Ang4'!H26+'Ang5'!H26+'Ang6'!H26+'Ang7'!H26+'Ang8'!H26+'Ang9'!H26+'Ang10'!H26</f>
        <v>0</v>
      </c>
      <c r="I20" s="71">
        <f>'Ang1'!I26+'Ang2'!I26+'Ang3'!I26+'Ang4'!I26+'Ang5'!I26+'Ang6'!I26+'Ang7'!I26+'Ang8'!I26+'Ang9'!I26+'Ang10'!I26</f>
        <v>0</v>
      </c>
      <c r="J20" s="71">
        <f>'Ang1'!J26+'Ang2'!J26+'Ang3'!J26+'Ang4'!J26+'Ang5'!J26+'Ang6'!J26+'Ang7'!J26+'Ang8'!J26+'Ang9'!J26+'Ang10'!J26</f>
        <v>0</v>
      </c>
      <c r="K20" s="71">
        <f>'Ang1'!K26+'Ang2'!K26+'Ang3'!K26+'Ang4'!K26+'Ang5'!K26+'Ang6'!K26+'Ang7'!K26+'Ang8'!K26+'Ang9'!K26+'Ang10'!K26</f>
        <v>0</v>
      </c>
      <c r="L20" s="71">
        <f>'Ang1'!L26+'Ang2'!L26+'Ang3'!L26+'Ang4'!L26+'Ang5'!L26+'Ang6'!L26+'Ang7'!L26+'Ang8'!L26+'Ang9'!L26+'Ang10'!L26</f>
        <v>0</v>
      </c>
      <c r="M20" s="71">
        <f>'Ang1'!M26+'Ang2'!M26+'Ang3'!M26+'Ang4'!M26+'Ang5'!M26+'Ang6'!M26+'Ang7'!M26+'Ang8'!M26+'Ang9'!M26+'Ang10'!M26</f>
        <v>0</v>
      </c>
      <c r="N20" s="71">
        <f>'Ang1'!N26+'Ang2'!N26+'Ang3'!N26+'Ang4'!N26+'Ang5'!N26+'Ang6'!N26+'Ang7'!N26+'Ang8'!N26+'Ang9'!N26+'Ang10'!N26</f>
        <v>0</v>
      </c>
      <c r="O20" s="71">
        <f>'Ang1'!O26+'Ang2'!O26+'Ang3'!O26+'Ang4'!O26+'Ang5'!O26+'Ang6'!O26+'Ang7'!O26+'Ang8'!O26+'Ang9'!O26+'Ang10'!O26</f>
        <v>0</v>
      </c>
      <c r="P20" s="70">
        <f>'Ang1'!P26+'Ang2'!P26+'Ang3'!P26+'Ang4'!P26+'Ang5'!P26+'Ang6'!P26+'Ang7'!P26+'Ang8'!P26+'Ang9'!P26+'Ang10'!P26</f>
        <v>0</v>
      </c>
    </row>
    <row r="21" spans="1:16" x14ac:dyDescent="0.3">
      <c r="A21" s="68">
        <v>38595</v>
      </c>
      <c r="B21" s="71">
        <f>'Ang1'!B27+'Ang2'!B27+'Ang3'!B27+'Ang4'!B27+'Ang5'!B27+'Ang6'!B27+'Ang7'!B27+'Ang8'!B27+'Ang9'!B27+'Ang10'!B27</f>
        <v>0</v>
      </c>
      <c r="C21" s="71">
        <f>'Ang1'!C27+'Ang2'!C27+'Ang3'!C27+'Ang4'!C27+'Ang5'!C27+'Ang6'!C27+'Ang7'!C27+'Ang8'!C27+'Ang9'!C27+'Ang10'!C27</f>
        <v>0</v>
      </c>
      <c r="D21" s="71">
        <f>'Ang1'!D27+'Ang2'!D27+'Ang3'!D27+'Ang4'!D27+'Ang5'!D27+'Ang6'!D27+'Ang7'!D27+'Ang8'!D27+'Ang9'!D27+'Ang10'!D27</f>
        <v>0</v>
      </c>
      <c r="E21" s="71">
        <f>'Ang1'!E27+'Ang2'!E27+'Ang3'!E27+'Ang4'!E27+'Ang5'!E27+'Ang6'!E27+'Ang7'!E27+'Ang8'!E27+'Ang9'!E27+'Ang10'!E27</f>
        <v>0</v>
      </c>
      <c r="F21" s="70">
        <f>'Ang1'!F27+'Ang2'!F27+'Ang3'!F27+'Ang4'!F27+'Ang5'!F27+'Ang6'!F27+'Ang7'!F27+'Ang8'!F27+'Ang9'!F27+'Ang10'!F27</f>
        <v>0</v>
      </c>
      <c r="G21" s="71">
        <f>'Ang1'!G27+'Ang2'!G27+'Ang3'!G27+'Ang4'!G27+'Ang5'!G27+'Ang6'!G27+'Ang7'!G27+'Ang8'!G27+'Ang9'!G27+'Ang10'!G27</f>
        <v>0</v>
      </c>
      <c r="H21" s="71">
        <f>'Ang1'!H27+'Ang2'!H27+'Ang3'!H27+'Ang4'!H27+'Ang5'!H27+'Ang6'!H27+'Ang7'!H27+'Ang8'!H27+'Ang9'!H27+'Ang10'!H27</f>
        <v>0</v>
      </c>
      <c r="I21" s="71">
        <f>'Ang1'!I27+'Ang2'!I27+'Ang3'!I27+'Ang4'!I27+'Ang5'!I27+'Ang6'!I27+'Ang7'!I27+'Ang8'!I27+'Ang9'!I27+'Ang10'!I27</f>
        <v>0</v>
      </c>
      <c r="J21" s="71">
        <f>'Ang1'!J27+'Ang2'!J27+'Ang3'!J27+'Ang4'!J27+'Ang5'!J27+'Ang6'!J27+'Ang7'!J27+'Ang8'!J27+'Ang9'!J27+'Ang10'!J27</f>
        <v>0</v>
      </c>
      <c r="K21" s="71">
        <f>'Ang1'!K27+'Ang2'!K27+'Ang3'!K27+'Ang4'!K27+'Ang5'!K27+'Ang6'!K27+'Ang7'!K27+'Ang8'!K27+'Ang9'!K27+'Ang10'!K27</f>
        <v>0</v>
      </c>
      <c r="L21" s="71">
        <f>'Ang1'!L27+'Ang2'!L27+'Ang3'!L27+'Ang4'!L27+'Ang5'!L27+'Ang6'!L27+'Ang7'!L27+'Ang8'!L27+'Ang9'!L27+'Ang10'!L27</f>
        <v>0</v>
      </c>
      <c r="M21" s="71">
        <f>'Ang1'!M27+'Ang2'!M27+'Ang3'!M27+'Ang4'!M27+'Ang5'!M27+'Ang6'!M27+'Ang7'!M27+'Ang8'!M27+'Ang9'!M27+'Ang10'!M27</f>
        <v>0</v>
      </c>
      <c r="N21" s="71">
        <f>'Ang1'!N27+'Ang2'!N27+'Ang3'!N27+'Ang4'!N27+'Ang5'!N27+'Ang6'!N27+'Ang7'!N27+'Ang8'!N27+'Ang9'!N27+'Ang10'!N27</f>
        <v>0</v>
      </c>
      <c r="O21" s="71">
        <f>'Ang1'!O27+'Ang2'!O27+'Ang3'!O27+'Ang4'!O27+'Ang5'!O27+'Ang6'!O27+'Ang7'!O27+'Ang8'!O27+'Ang9'!O27+'Ang10'!O27</f>
        <v>0</v>
      </c>
      <c r="P21" s="70">
        <f>'Ang1'!P27+'Ang2'!P27+'Ang3'!P27+'Ang4'!P27+'Ang5'!P27+'Ang6'!P27+'Ang7'!P27+'Ang8'!P27+'Ang9'!P27+'Ang10'!P27</f>
        <v>0</v>
      </c>
    </row>
    <row r="22" spans="1:16" x14ac:dyDescent="0.3">
      <c r="A22" s="68">
        <v>38625</v>
      </c>
      <c r="B22" s="71">
        <f>'Ang1'!B28+'Ang2'!B28+'Ang3'!B28+'Ang4'!B28+'Ang5'!B28+'Ang6'!B28+'Ang7'!B28+'Ang8'!B28+'Ang9'!B28+'Ang10'!B28</f>
        <v>0</v>
      </c>
      <c r="C22" s="71">
        <f>'Ang1'!C28+'Ang2'!C28+'Ang3'!C28+'Ang4'!C28+'Ang5'!C28+'Ang6'!C28+'Ang7'!C28+'Ang8'!C28+'Ang9'!C28+'Ang10'!C28</f>
        <v>0</v>
      </c>
      <c r="D22" s="71">
        <f>'Ang1'!D28+'Ang2'!D28+'Ang3'!D28+'Ang4'!D28+'Ang5'!D28+'Ang6'!D28+'Ang7'!D28+'Ang8'!D28+'Ang9'!D28+'Ang10'!D28</f>
        <v>0</v>
      </c>
      <c r="E22" s="71">
        <f>'Ang1'!E28+'Ang2'!E28+'Ang3'!E28+'Ang4'!E28+'Ang5'!E28+'Ang6'!E28+'Ang7'!E28+'Ang8'!E28+'Ang9'!E28+'Ang10'!E28</f>
        <v>0</v>
      </c>
      <c r="F22" s="70">
        <f>'Ang1'!F28+'Ang2'!F28+'Ang3'!F28+'Ang4'!F28+'Ang5'!F28+'Ang6'!F28+'Ang7'!F28+'Ang8'!F28+'Ang9'!F28+'Ang10'!F28</f>
        <v>0</v>
      </c>
      <c r="G22" s="71">
        <f>'Ang1'!G28+'Ang2'!G28+'Ang3'!G28+'Ang4'!G28+'Ang5'!G28+'Ang6'!G28+'Ang7'!G28+'Ang8'!G28+'Ang9'!G28+'Ang10'!G28</f>
        <v>0</v>
      </c>
      <c r="H22" s="71">
        <f>'Ang1'!H28+'Ang2'!H28+'Ang3'!H28+'Ang4'!H28+'Ang5'!H28+'Ang6'!H28+'Ang7'!H28+'Ang8'!H28+'Ang9'!H28+'Ang10'!H28</f>
        <v>0</v>
      </c>
      <c r="I22" s="71">
        <f>'Ang1'!I28+'Ang2'!I28+'Ang3'!I28+'Ang4'!I28+'Ang5'!I28+'Ang6'!I28+'Ang7'!I28+'Ang8'!I28+'Ang9'!I28+'Ang10'!I28</f>
        <v>0</v>
      </c>
      <c r="J22" s="71">
        <f>'Ang1'!J28+'Ang2'!J28+'Ang3'!J28+'Ang4'!J28+'Ang5'!J28+'Ang6'!J28+'Ang7'!J28+'Ang8'!J28+'Ang9'!J28+'Ang10'!J28</f>
        <v>0</v>
      </c>
      <c r="K22" s="71">
        <f>'Ang1'!K28+'Ang2'!K28+'Ang3'!K28+'Ang4'!K28+'Ang5'!K28+'Ang6'!K28+'Ang7'!K28+'Ang8'!K28+'Ang9'!K28+'Ang10'!K28</f>
        <v>0</v>
      </c>
      <c r="L22" s="71">
        <f>'Ang1'!L28+'Ang2'!L28+'Ang3'!L28+'Ang4'!L28+'Ang5'!L28+'Ang6'!L28+'Ang7'!L28+'Ang8'!L28+'Ang9'!L28+'Ang10'!L28</f>
        <v>0</v>
      </c>
      <c r="M22" s="71">
        <f>'Ang1'!M28+'Ang2'!M28+'Ang3'!M28+'Ang4'!M28+'Ang5'!M28+'Ang6'!M28+'Ang7'!M28+'Ang8'!M28+'Ang9'!M28+'Ang10'!M28</f>
        <v>0</v>
      </c>
      <c r="N22" s="71">
        <f>'Ang1'!N28+'Ang2'!N28+'Ang3'!N28+'Ang4'!N28+'Ang5'!N28+'Ang6'!N28+'Ang7'!N28+'Ang8'!N28+'Ang9'!N28+'Ang10'!N28</f>
        <v>0</v>
      </c>
      <c r="O22" s="71">
        <f>'Ang1'!O28+'Ang2'!O28+'Ang3'!O28+'Ang4'!O28+'Ang5'!O28+'Ang6'!O28+'Ang7'!O28+'Ang8'!O28+'Ang9'!O28+'Ang10'!O28</f>
        <v>0</v>
      </c>
      <c r="P22" s="70">
        <f>'Ang1'!P28+'Ang2'!P28+'Ang3'!P28+'Ang4'!P28+'Ang5'!P28+'Ang6'!P28+'Ang7'!P28+'Ang8'!P28+'Ang9'!P28+'Ang10'!P28</f>
        <v>0</v>
      </c>
    </row>
    <row r="23" spans="1:16" x14ac:dyDescent="0.3">
      <c r="A23" s="68">
        <v>38656</v>
      </c>
      <c r="B23" s="71">
        <f>'Ang1'!B29+'Ang2'!B29+'Ang3'!B29+'Ang4'!B29+'Ang5'!B29+'Ang6'!B29+'Ang7'!B29+'Ang8'!B29+'Ang9'!B29+'Ang10'!B29</f>
        <v>0</v>
      </c>
      <c r="C23" s="71">
        <f>'Ang1'!C29+'Ang2'!C29+'Ang3'!C29+'Ang4'!C29+'Ang5'!C29+'Ang6'!C29+'Ang7'!C29+'Ang8'!C29+'Ang9'!C29+'Ang10'!C29</f>
        <v>0</v>
      </c>
      <c r="D23" s="71">
        <f>'Ang1'!D29+'Ang2'!D29+'Ang3'!D29+'Ang4'!D29+'Ang5'!D29+'Ang6'!D29+'Ang7'!D29+'Ang8'!D29+'Ang9'!D29+'Ang10'!D29</f>
        <v>0</v>
      </c>
      <c r="E23" s="71">
        <f>'Ang1'!E29+'Ang2'!E29+'Ang3'!E29+'Ang4'!E29+'Ang5'!E29+'Ang6'!E29+'Ang7'!E29+'Ang8'!E29+'Ang9'!E29+'Ang10'!E29</f>
        <v>0</v>
      </c>
      <c r="F23" s="70">
        <f>'Ang1'!F29+'Ang2'!F29+'Ang3'!F29+'Ang4'!F29+'Ang5'!F29+'Ang6'!F29+'Ang7'!F29+'Ang8'!F29+'Ang9'!F29+'Ang10'!F29</f>
        <v>0</v>
      </c>
      <c r="G23" s="71">
        <f>'Ang1'!G29+'Ang2'!G29+'Ang3'!G29+'Ang4'!G29+'Ang5'!G29+'Ang6'!G29+'Ang7'!G29+'Ang8'!G29+'Ang9'!G29+'Ang10'!G29</f>
        <v>0</v>
      </c>
      <c r="H23" s="71">
        <f>'Ang1'!H29+'Ang2'!H29+'Ang3'!H29+'Ang4'!H29+'Ang5'!H29+'Ang6'!H29+'Ang7'!H29+'Ang8'!H29+'Ang9'!H29+'Ang10'!H29</f>
        <v>0</v>
      </c>
      <c r="I23" s="71">
        <f>'Ang1'!I29+'Ang2'!I29+'Ang3'!I29+'Ang4'!I29+'Ang5'!I29+'Ang6'!I29+'Ang7'!I29+'Ang8'!I29+'Ang9'!I29+'Ang10'!I29</f>
        <v>0</v>
      </c>
      <c r="J23" s="71">
        <f>'Ang1'!J29+'Ang2'!J29+'Ang3'!J29+'Ang4'!J29+'Ang5'!J29+'Ang6'!J29+'Ang7'!J29+'Ang8'!J29+'Ang9'!J29+'Ang10'!J29</f>
        <v>0</v>
      </c>
      <c r="K23" s="71">
        <f>'Ang1'!K29+'Ang2'!K29+'Ang3'!K29+'Ang4'!K29+'Ang5'!K29+'Ang6'!K29+'Ang7'!K29+'Ang8'!K29+'Ang9'!K29+'Ang10'!K29</f>
        <v>0</v>
      </c>
      <c r="L23" s="71">
        <f>'Ang1'!L29+'Ang2'!L29+'Ang3'!L29+'Ang4'!L29+'Ang5'!L29+'Ang6'!L29+'Ang7'!L29+'Ang8'!L29+'Ang9'!L29+'Ang10'!L29</f>
        <v>0</v>
      </c>
      <c r="M23" s="71">
        <f>'Ang1'!M29+'Ang2'!M29+'Ang3'!M29+'Ang4'!M29+'Ang5'!M29+'Ang6'!M29+'Ang7'!M29+'Ang8'!M29+'Ang9'!M29+'Ang10'!M29</f>
        <v>0</v>
      </c>
      <c r="N23" s="71">
        <f>'Ang1'!N29+'Ang2'!N29+'Ang3'!N29+'Ang4'!N29+'Ang5'!N29+'Ang6'!N29+'Ang7'!N29+'Ang8'!N29+'Ang9'!N29+'Ang10'!N29</f>
        <v>0</v>
      </c>
      <c r="O23" s="71">
        <f>'Ang1'!O29+'Ang2'!O29+'Ang3'!O29+'Ang4'!O29+'Ang5'!O29+'Ang6'!O29+'Ang7'!O29+'Ang8'!O29+'Ang9'!O29+'Ang10'!O29</f>
        <v>0</v>
      </c>
      <c r="P23" s="70">
        <f>'Ang1'!P29+'Ang2'!P29+'Ang3'!P29+'Ang4'!P29+'Ang5'!P29+'Ang6'!P29+'Ang7'!P29+'Ang8'!P29+'Ang9'!P29+'Ang10'!P29</f>
        <v>0</v>
      </c>
    </row>
    <row r="24" spans="1:16" x14ac:dyDescent="0.3">
      <c r="A24" s="68">
        <v>38686</v>
      </c>
      <c r="B24" s="71">
        <f>'Ang1'!B30+'Ang2'!B30+'Ang3'!B30+'Ang4'!B30+'Ang5'!B30+'Ang6'!B30+'Ang7'!B30+'Ang8'!B30+'Ang9'!B30+'Ang10'!B30</f>
        <v>0</v>
      </c>
      <c r="C24" s="71">
        <f>'Ang1'!C30+'Ang2'!C30+'Ang3'!C30+'Ang4'!C30+'Ang5'!C30+'Ang6'!C30+'Ang7'!C30+'Ang8'!C30+'Ang9'!C30+'Ang10'!C30</f>
        <v>0</v>
      </c>
      <c r="D24" s="71">
        <f>'Ang1'!D30+'Ang2'!D30+'Ang3'!D30+'Ang4'!D30+'Ang5'!D30+'Ang6'!D30+'Ang7'!D30+'Ang8'!D30+'Ang9'!D30+'Ang10'!D30</f>
        <v>0</v>
      </c>
      <c r="E24" s="71">
        <f>'Ang1'!E30+'Ang2'!E30+'Ang3'!E30+'Ang4'!E30+'Ang5'!E30+'Ang6'!E30+'Ang7'!E30+'Ang8'!E30+'Ang9'!E30+'Ang10'!E30</f>
        <v>0</v>
      </c>
      <c r="F24" s="70">
        <f>'Ang1'!F30+'Ang2'!F30+'Ang3'!F30+'Ang4'!F30+'Ang5'!F30+'Ang6'!F30+'Ang7'!F30+'Ang8'!F30+'Ang9'!F30+'Ang10'!F30</f>
        <v>0</v>
      </c>
      <c r="G24" s="71">
        <f>'Ang1'!G30+'Ang2'!G30+'Ang3'!G30+'Ang4'!G30+'Ang5'!G30+'Ang6'!G30+'Ang7'!G30+'Ang8'!G30+'Ang9'!G30+'Ang10'!G30</f>
        <v>0</v>
      </c>
      <c r="H24" s="71">
        <f>'Ang1'!H30+'Ang2'!H30+'Ang3'!H30+'Ang4'!H30+'Ang5'!H30+'Ang6'!H30+'Ang7'!H30+'Ang8'!H30+'Ang9'!H30+'Ang10'!H30</f>
        <v>0</v>
      </c>
      <c r="I24" s="71">
        <f>'Ang1'!I30+'Ang2'!I30+'Ang3'!I30+'Ang4'!I30+'Ang5'!I30+'Ang6'!I30+'Ang7'!I30+'Ang8'!I30+'Ang9'!I30+'Ang10'!I30</f>
        <v>0</v>
      </c>
      <c r="J24" s="71">
        <f>'Ang1'!J30+'Ang2'!J30+'Ang3'!J30+'Ang4'!J30+'Ang5'!J30+'Ang6'!J30+'Ang7'!J30+'Ang8'!J30+'Ang9'!J30+'Ang10'!J30</f>
        <v>0</v>
      </c>
      <c r="K24" s="71">
        <f>'Ang1'!K30+'Ang2'!K30+'Ang3'!K30+'Ang4'!K30+'Ang5'!K30+'Ang6'!K30+'Ang7'!K30+'Ang8'!K30+'Ang9'!K30+'Ang10'!K30</f>
        <v>0</v>
      </c>
      <c r="L24" s="71">
        <f>'Ang1'!L30+'Ang2'!L30+'Ang3'!L30+'Ang4'!L30+'Ang5'!L30+'Ang6'!L30+'Ang7'!L30+'Ang8'!L30+'Ang9'!L30+'Ang10'!L30</f>
        <v>0</v>
      </c>
      <c r="M24" s="71">
        <f>'Ang1'!M30+'Ang2'!M30+'Ang3'!M30+'Ang4'!M30+'Ang5'!M30+'Ang6'!M30+'Ang7'!M30+'Ang8'!M30+'Ang9'!M30+'Ang10'!M30</f>
        <v>0</v>
      </c>
      <c r="N24" s="71">
        <f>'Ang1'!N30+'Ang2'!N30+'Ang3'!N30+'Ang4'!N30+'Ang5'!N30+'Ang6'!N30+'Ang7'!N30+'Ang8'!N30+'Ang9'!N30+'Ang10'!N30</f>
        <v>0</v>
      </c>
      <c r="O24" s="71">
        <f>'Ang1'!O30+'Ang2'!O30+'Ang3'!O30+'Ang4'!O30+'Ang5'!O30+'Ang6'!O30+'Ang7'!O30+'Ang8'!O30+'Ang9'!O30+'Ang10'!O30</f>
        <v>0</v>
      </c>
      <c r="P24" s="70">
        <f>'Ang1'!P30+'Ang2'!P30+'Ang3'!P30+'Ang4'!P30+'Ang5'!P30+'Ang6'!P30+'Ang7'!P30+'Ang8'!P30+'Ang9'!P30+'Ang10'!P30</f>
        <v>0</v>
      </c>
    </row>
    <row r="25" spans="1:16" x14ac:dyDescent="0.3">
      <c r="A25" s="68">
        <v>38717</v>
      </c>
      <c r="B25" s="71">
        <f>'Ang1'!B31+'Ang2'!B31+'Ang3'!B31+'Ang4'!B31+'Ang5'!B31+'Ang6'!B31+'Ang7'!B31+'Ang8'!B31+'Ang9'!B31+'Ang10'!B31</f>
        <v>0</v>
      </c>
      <c r="C25" s="71">
        <f>'Ang1'!C31+'Ang2'!C31+'Ang3'!C31+'Ang4'!C31+'Ang5'!C31+'Ang6'!C31+'Ang7'!C31+'Ang8'!C31+'Ang9'!C31+'Ang10'!C31</f>
        <v>0</v>
      </c>
      <c r="D25" s="71">
        <f>'Ang1'!D31+'Ang2'!D31+'Ang3'!D31+'Ang4'!D31+'Ang5'!D31+'Ang6'!D31+'Ang7'!D31+'Ang8'!D31+'Ang9'!D31+'Ang10'!D31</f>
        <v>0</v>
      </c>
      <c r="E25" s="71">
        <f>'Ang1'!E31+'Ang2'!E31+'Ang3'!E31+'Ang4'!E31+'Ang5'!E31+'Ang6'!E31+'Ang7'!E31+'Ang8'!E31+'Ang9'!E31+'Ang10'!E31</f>
        <v>0</v>
      </c>
      <c r="F25" s="70">
        <f>'Ang1'!F31+'Ang2'!F31+'Ang3'!F31+'Ang4'!F31+'Ang5'!F31+'Ang6'!F31+'Ang7'!F31+'Ang8'!F31+'Ang9'!F31+'Ang10'!F31</f>
        <v>0</v>
      </c>
      <c r="G25" s="71">
        <f>'Ang1'!G31+'Ang2'!G31+'Ang3'!G31+'Ang4'!G31+'Ang5'!G31+'Ang6'!G31+'Ang7'!G31+'Ang8'!G31+'Ang9'!G31+'Ang10'!G31</f>
        <v>0</v>
      </c>
      <c r="H25" s="71">
        <f>'Ang1'!H31+'Ang2'!H31+'Ang3'!H31+'Ang4'!H31+'Ang5'!H31+'Ang6'!H31+'Ang7'!H31+'Ang8'!H31+'Ang9'!H31+'Ang10'!H31</f>
        <v>0</v>
      </c>
      <c r="I25" s="71">
        <f>'Ang1'!I31+'Ang2'!I31+'Ang3'!I31+'Ang4'!I31+'Ang5'!I31+'Ang6'!I31+'Ang7'!I31+'Ang8'!I31+'Ang9'!I31+'Ang10'!I31</f>
        <v>0</v>
      </c>
      <c r="J25" s="71">
        <f>'Ang1'!J31+'Ang2'!J31+'Ang3'!J31+'Ang4'!J31+'Ang5'!J31+'Ang6'!J31+'Ang7'!J31+'Ang8'!J31+'Ang9'!J31+'Ang10'!J31</f>
        <v>0</v>
      </c>
      <c r="K25" s="71">
        <f>'Ang1'!K31+'Ang2'!K31+'Ang3'!K31+'Ang4'!K31+'Ang5'!K31+'Ang6'!K31+'Ang7'!K31+'Ang8'!K31+'Ang9'!K31+'Ang10'!K31</f>
        <v>0</v>
      </c>
      <c r="L25" s="71">
        <f>'Ang1'!L31+'Ang2'!L31+'Ang3'!L31+'Ang4'!L31+'Ang5'!L31+'Ang6'!L31+'Ang7'!L31+'Ang8'!L31+'Ang9'!L31+'Ang10'!L31</f>
        <v>0</v>
      </c>
      <c r="M25" s="71">
        <f>'Ang1'!M31+'Ang2'!M31+'Ang3'!M31+'Ang4'!M31+'Ang5'!M31+'Ang6'!M31+'Ang7'!M31+'Ang8'!M31+'Ang9'!M31+'Ang10'!M31</f>
        <v>0</v>
      </c>
      <c r="N25" s="71">
        <f>'Ang1'!N31+'Ang2'!N31+'Ang3'!N31+'Ang4'!N31+'Ang5'!N31+'Ang6'!N31+'Ang7'!N31+'Ang8'!N31+'Ang9'!N31+'Ang10'!N31</f>
        <v>0</v>
      </c>
      <c r="O25" s="71">
        <f>'Ang1'!O31+'Ang2'!O31+'Ang3'!O31+'Ang4'!O31+'Ang5'!O31+'Ang6'!O31+'Ang7'!O31+'Ang8'!O31+'Ang9'!O31+'Ang10'!O31</f>
        <v>0</v>
      </c>
      <c r="P25" s="70">
        <f>'Ang1'!P31+'Ang2'!P31+'Ang3'!P31+'Ang4'!P31+'Ang5'!P31+'Ang6'!P31+'Ang7'!P31+'Ang8'!P31+'Ang9'!P31+'Ang10'!P31</f>
        <v>0</v>
      </c>
    </row>
    <row r="26" spans="1:16" x14ac:dyDescent="0.3">
      <c r="A26" s="74" t="s">
        <v>20</v>
      </c>
      <c r="B26" s="71">
        <f>'Ang1'!B32+'Ang2'!B32+'Ang3'!B32+'Ang4'!B32+'Ang5'!B32+'Ang6'!B32+'Ang7'!B32+'Ang8'!B32+'Ang9'!B32+'Ang10'!B32</f>
        <v>0</v>
      </c>
      <c r="C26" s="71">
        <f>'Ang1'!C32+'Ang2'!C32+'Ang3'!C32+'Ang4'!C32+'Ang5'!C32+'Ang6'!C32+'Ang7'!C32+'Ang8'!C32+'Ang9'!C32+'Ang10'!C32</f>
        <v>0</v>
      </c>
      <c r="D26" s="71">
        <f>'Ang1'!D32+'Ang2'!D32+'Ang3'!D32+'Ang4'!D32+'Ang5'!D32+'Ang6'!D32+'Ang7'!D32+'Ang8'!D32+'Ang9'!D32+'Ang10'!D32</f>
        <v>0</v>
      </c>
      <c r="E26" s="71">
        <f>'Ang1'!E32+'Ang2'!E32+'Ang3'!E32+'Ang4'!E32+'Ang5'!E32+'Ang6'!E32+'Ang7'!E32+'Ang8'!E32+'Ang9'!E32+'Ang10'!E32</f>
        <v>0</v>
      </c>
      <c r="F26" s="70">
        <f>'Ang1'!F32+'Ang2'!F32+'Ang3'!F32+'Ang4'!F32+'Ang5'!F32+'Ang6'!F32+'Ang7'!F32+'Ang8'!F32+'Ang9'!F32+'Ang10'!F32</f>
        <v>0</v>
      </c>
      <c r="G26" s="71">
        <f>'Ang1'!G32+'Ang2'!G32+'Ang3'!G32+'Ang4'!G32+'Ang5'!G32+'Ang6'!G32+'Ang7'!G32+'Ang8'!G32+'Ang9'!G32+'Ang10'!G32</f>
        <v>0</v>
      </c>
      <c r="H26" s="71">
        <f>'Ang1'!H32+'Ang2'!H32+'Ang3'!H32+'Ang4'!H32+'Ang5'!H32+'Ang6'!H32+'Ang7'!H32+'Ang8'!H32+'Ang9'!H32+'Ang10'!H32</f>
        <v>0</v>
      </c>
      <c r="I26" s="71">
        <f>'Ang1'!I32+'Ang2'!I32+'Ang3'!I32+'Ang4'!I32+'Ang5'!I32+'Ang6'!I32+'Ang7'!I32+'Ang8'!I32+'Ang9'!I32+'Ang10'!I32</f>
        <v>0</v>
      </c>
      <c r="J26" s="71">
        <f>'Ang1'!J32+'Ang2'!J32+'Ang3'!J32+'Ang4'!J32+'Ang5'!J32+'Ang6'!J32+'Ang7'!J32+'Ang8'!J32+'Ang9'!J32+'Ang10'!J32</f>
        <v>0</v>
      </c>
      <c r="K26" s="71">
        <f>'Ang1'!K32+'Ang2'!K32+'Ang3'!K32+'Ang4'!K32+'Ang5'!K32+'Ang6'!K32+'Ang7'!K32+'Ang8'!K32+'Ang9'!K32+'Ang10'!K32</f>
        <v>0</v>
      </c>
      <c r="L26" s="71">
        <f>'Ang1'!L32+'Ang2'!L32+'Ang3'!L32+'Ang4'!L32+'Ang5'!L32+'Ang6'!L32+'Ang7'!L32+'Ang8'!L32+'Ang9'!L32+'Ang10'!L32</f>
        <v>0</v>
      </c>
      <c r="M26" s="71">
        <f>'Ang1'!M32+'Ang2'!M32+'Ang3'!M32+'Ang4'!M32+'Ang5'!M32+'Ang6'!M32+'Ang7'!M32+'Ang8'!M32+'Ang9'!M32+'Ang10'!M32</f>
        <v>0</v>
      </c>
      <c r="N26" s="71">
        <f>'Ang1'!N32+'Ang2'!N32+'Ang3'!N32+'Ang4'!N32+'Ang5'!N32+'Ang6'!N32+'Ang7'!N32+'Ang8'!N32+'Ang9'!N32+'Ang10'!N32</f>
        <v>0</v>
      </c>
      <c r="O26" s="71">
        <f>'Ang1'!O32+'Ang2'!O32+'Ang3'!O32+'Ang4'!O32+'Ang5'!O32+'Ang6'!O32+'Ang7'!O32+'Ang8'!O32+'Ang9'!O32+'Ang10'!O32</f>
        <v>0</v>
      </c>
      <c r="P26" s="70">
        <f>'Ang1'!P32+'Ang2'!P32+'Ang3'!P32+'Ang4'!P32+'Ang5'!P32+'Ang6'!P32+'Ang7'!P32+'Ang8'!P32+'Ang9'!P32+'Ang10'!P32</f>
        <v>0</v>
      </c>
    </row>
    <row r="27" spans="1:16" x14ac:dyDescent="0.3">
      <c r="A27" s="75"/>
      <c r="B27" s="71">
        <f>'Ang1'!B33+'Ang2'!B33+'Ang3'!B33+'Ang4'!B33+'Ang5'!B33+'Ang6'!B33+'Ang7'!B33+'Ang8'!B33+'Ang9'!B33+'Ang10'!B33</f>
        <v>0</v>
      </c>
      <c r="C27" s="71">
        <f>'Ang1'!C33+'Ang2'!C33+'Ang3'!C33+'Ang4'!C33+'Ang5'!C33+'Ang6'!C33+'Ang7'!C33+'Ang8'!C33+'Ang9'!C33+'Ang10'!C33</f>
        <v>0</v>
      </c>
      <c r="D27" s="71">
        <f>'Ang1'!D33+'Ang2'!D33+'Ang3'!D33+'Ang4'!D33+'Ang5'!D33+'Ang6'!D33+'Ang7'!D33+'Ang8'!D33+'Ang9'!D33+'Ang10'!D33</f>
        <v>0</v>
      </c>
      <c r="E27" s="71">
        <f>'Ang1'!E33+'Ang2'!E33+'Ang3'!E33+'Ang4'!E33+'Ang5'!E33+'Ang6'!E33+'Ang7'!E33+'Ang8'!E33+'Ang9'!E33+'Ang10'!E33</f>
        <v>0</v>
      </c>
      <c r="F27" s="70">
        <f>'Ang1'!F33+'Ang2'!F33+'Ang3'!F33+'Ang4'!F33+'Ang5'!F33+'Ang6'!F33+'Ang7'!F33+'Ang8'!F33+'Ang9'!F33+'Ang10'!F33</f>
        <v>0</v>
      </c>
      <c r="G27" s="71">
        <f>'Ang1'!G33+'Ang2'!G33+'Ang3'!G33+'Ang4'!G33+'Ang5'!G33+'Ang6'!G33+'Ang7'!G33+'Ang8'!G33+'Ang9'!G33+'Ang10'!G33</f>
        <v>0</v>
      </c>
      <c r="H27" s="71">
        <f>'Ang1'!H33+'Ang2'!H33+'Ang3'!H33+'Ang4'!H33+'Ang5'!H33+'Ang6'!H33+'Ang7'!H33+'Ang8'!H33+'Ang9'!H33+'Ang10'!H33</f>
        <v>0</v>
      </c>
      <c r="I27" s="71">
        <f>'Ang1'!I33+'Ang2'!I33+'Ang3'!I33+'Ang4'!I33+'Ang5'!I33+'Ang6'!I33+'Ang7'!I33+'Ang8'!I33+'Ang9'!I33+'Ang10'!I33</f>
        <v>0</v>
      </c>
      <c r="J27" s="71">
        <f>'Ang1'!J33+'Ang2'!J33+'Ang3'!J33+'Ang4'!J33+'Ang5'!J33+'Ang6'!J33+'Ang7'!J33+'Ang8'!J33+'Ang9'!J33+'Ang10'!J33</f>
        <v>0</v>
      </c>
      <c r="K27" s="71">
        <f>'Ang1'!K33+'Ang2'!K33+'Ang3'!K33+'Ang4'!K33+'Ang5'!K33+'Ang6'!K33+'Ang7'!K33+'Ang8'!K33+'Ang9'!K33+'Ang10'!K33</f>
        <v>0</v>
      </c>
      <c r="L27" s="71">
        <f>'Ang1'!L33+'Ang2'!L33+'Ang3'!L33+'Ang4'!L33+'Ang5'!L33+'Ang6'!L33+'Ang7'!L33+'Ang8'!L33+'Ang9'!L33+'Ang10'!L33</f>
        <v>0</v>
      </c>
      <c r="M27" s="71">
        <f>'Ang1'!M33+'Ang2'!M33+'Ang3'!M33+'Ang4'!M33+'Ang5'!M33+'Ang6'!M33+'Ang7'!M33+'Ang8'!M33+'Ang9'!M33+'Ang10'!M33</f>
        <v>0</v>
      </c>
      <c r="N27" s="71">
        <f>'Ang1'!N33+'Ang2'!N33+'Ang3'!N33+'Ang4'!N33+'Ang5'!N33+'Ang6'!N33+'Ang7'!N33+'Ang8'!N33+'Ang9'!N33+'Ang10'!N33</f>
        <v>0</v>
      </c>
      <c r="O27" s="71">
        <f>'Ang1'!O33+'Ang2'!O33+'Ang3'!O33+'Ang4'!O33+'Ang5'!O33+'Ang6'!O33+'Ang7'!O33+'Ang8'!O33+'Ang9'!O33+'Ang10'!O33</f>
        <v>0</v>
      </c>
      <c r="P27" s="70">
        <f>'Ang1'!P33+'Ang2'!P33+'Ang3'!P33+'Ang4'!P33+'Ang5'!P33+'Ang6'!P33+'Ang7'!P33+'Ang8'!P33+'Ang9'!P33+'Ang10'!P33</f>
        <v>0</v>
      </c>
    </row>
    <row r="28" spans="1:16" s="16" customFormat="1" ht="14.25" x14ac:dyDescent="0.15">
      <c r="A28" s="63"/>
      <c r="B28" s="63"/>
      <c r="C28" s="63"/>
      <c r="D28" s="63"/>
      <c r="E28" s="63"/>
      <c r="F28" s="63"/>
      <c r="G28" s="66"/>
      <c r="H28" s="66"/>
      <c r="I28" s="63"/>
      <c r="J28" s="66"/>
      <c r="K28" s="66"/>
      <c r="L28" s="66"/>
      <c r="M28" s="66"/>
      <c r="N28" s="63"/>
      <c r="O28" s="63"/>
      <c r="P28" s="63"/>
    </row>
    <row r="29" spans="1:16" s="26" customFormat="1" ht="15" thickBot="1" x14ac:dyDescent="0.3">
      <c r="A29" s="77" t="s">
        <v>0</v>
      </c>
      <c r="B29" s="78">
        <f t="shared" ref="B29:P29" si="0">SUM(B14:B27)</f>
        <v>0</v>
      </c>
      <c r="C29" s="78">
        <f t="shared" si="0"/>
        <v>0</v>
      </c>
      <c r="D29" s="78">
        <f t="shared" si="0"/>
        <v>0</v>
      </c>
      <c r="E29" s="78">
        <f t="shared" si="0"/>
        <v>0</v>
      </c>
      <c r="F29" s="78">
        <f t="shared" si="0"/>
        <v>0</v>
      </c>
      <c r="G29" s="78">
        <f t="shared" si="0"/>
        <v>0</v>
      </c>
      <c r="H29" s="78">
        <f t="shared" si="0"/>
        <v>0</v>
      </c>
      <c r="I29" s="78">
        <f>SUM(I14:I27)</f>
        <v>0</v>
      </c>
      <c r="J29" s="78">
        <f t="shared" si="0"/>
        <v>0</v>
      </c>
      <c r="K29" s="78">
        <f t="shared" si="0"/>
        <v>0</v>
      </c>
      <c r="L29" s="78">
        <f t="shared" si="0"/>
        <v>0</v>
      </c>
      <c r="M29" s="78">
        <f t="shared" si="0"/>
        <v>0</v>
      </c>
      <c r="N29" s="78">
        <f t="shared" si="0"/>
        <v>0</v>
      </c>
      <c r="O29" s="78">
        <f t="shared" si="0"/>
        <v>0</v>
      </c>
      <c r="P29" s="78">
        <f t="shared" si="0"/>
        <v>0</v>
      </c>
    </row>
    <row r="30" spans="1:16" ht="17.25" thickTop="1" x14ac:dyDescent="0.3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</row>
    <row r="31" spans="1:16" x14ac:dyDescent="0.3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</row>
    <row r="32" spans="1:16" x14ac:dyDescent="0.3">
      <c r="A32" s="26" t="s">
        <v>35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</row>
    <row r="33" spans="1:17" x14ac:dyDescent="0.3">
      <c r="A33" s="113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28"/>
    </row>
    <row r="34" spans="1:17" x14ac:dyDescent="0.3">
      <c r="A34" s="113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28"/>
    </row>
    <row r="35" spans="1:17" x14ac:dyDescent="0.3">
      <c r="A35" s="113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28"/>
    </row>
    <row r="36" spans="1:17" x14ac:dyDescent="0.3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28"/>
    </row>
    <row r="37" spans="1:17" x14ac:dyDescent="0.3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28"/>
    </row>
    <row r="38" spans="1:17" x14ac:dyDescent="0.3">
      <c r="A38" s="113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28"/>
    </row>
    <row r="39" spans="1:17" x14ac:dyDescent="0.3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28"/>
    </row>
    <row r="40" spans="1:17" x14ac:dyDescent="0.3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28"/>
    </row>
    <row r="41" spans="1:17" x14ac:dyDescent="0.3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28"/>
    </row>
    <row r="42" spans="1:17" x14ac:dyDescent="0.3">
      <c r="Q42" s="28"/>
    </row>
    <row r="44" spans="1:17" x14ac:dyDescent="0.3">
      <c r="A44" s="26"/>
      <c r="Q44" s="30"/>
    </row>
    <row r="45" spans="1:17" x14ac:dyDescent="0.3">
      <c r="A45" s="29"/>
      <c r="H45" s="30"/>
      <c r="I45" s="30"/>
      <c r="Q45" s="30"/>
    </row>
    <row r="46" spans="1:17" x14ac:dyDescent="0.3">
      <c r="A46" s="31"/>
      <c r="Q46" s="85"/>
    </row>
    <row r="48" spans="1:17" x14ac:dyDescent="0.3">
      <c r="A48" s="26" t="s">
        <v>36</v>
      </c>
      <c r="Q48" s="27"/>
    </row>
    <row r="49" spans="1:17" x14ac:dyDescent="0.3">
      <c r="A49" s="113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</row>
    <row r="50" spans="1:17" s="1" customFormat="1" ht="14.25" x14ac:dyDescent="0.25">
      <c r="A50" s="113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</row>
    <row r="51" spans="1:17" s="1" customFormat="1" ht="14.25" x14ac:dyDescent="0.25">
      <c r="A51" s="113"/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</row>
    <row r="52" spans="1:17" x14ac:dyDescent="0.3">
      <c r="A52" s="113"/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</row>
    <row r="53" spans="1:17" s="1" customFormat="1" ht="14.25" x14ac:dyDescent="0.25">
      <c r="A53" s="113"/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</row>
    <row r="54" spans="1:17" s="1" customFormat="1" ht="14.25" x14ac:dyDescent="0.25">
      <c r="A54" s="113"/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</row>
    <row r="55" spans="1:17" x14ac:dyDescent="0.3">
      <c r="A55" s="113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28"/>
    </row>
    <row r="56" spans="1:17" s="1" customFormat="1" x14ac:dyDescent="0.3">
      <c r="A56" s="113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28"/>
    </row>
    <row r="57" spans="1:17" s="1" customFormat="1" x14ac:dyDescent="0.3">
      <c r="A57" s="113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28"/>
    </row>
    <row r="58" spans="1:17" x14ac:dyDescent="0.3">
      <c r="A58" s="113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28"/>
    </row>
    <row r="59" spans="1:17" s="1" customFormat="1" x14ac:dyDescent="0.3">
      <c r="A59" s="113"/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28"/>
    </row>
    <row r="60" spans="1:17" s="1" customFormat="1" x14ac:dyDescent="0.3">
      <c r="A60" s="113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28"/>
    </row>
    <row r="61" spans="1:17" x14ac:dyDescent="0.3">
      <c r="A61" s="113"/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28"/>
    </row>
    <row r="62" spans="1:17" x14ac:dyDescent="0.3">
      <c r="A62" s="113"/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28"/>
    </row>
    <row r="63" spans="1:17" x14ac:dyDescent="0.3">
      <c r="A63" s="113"/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28"/>
    </row>
    <row r="64" spans="1:17" x14ac:dyDescent="0.3">
      <c r="A64" s="113"/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28"/>
    </row>
    <row r="65" spans="1:17" x14ac:dyDescent="0.3">
      <c r="A65" s="113"/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28"/>
    </row>
    <row r="66" spans="1:17" x14ac:dyDescent="0.3">
      <c r="A66" s="113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28"/>
    </row>
    <row r="67" spans="1:17" x14ac:dyDescent="0.3">
      <c r="A67" s="113"/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</row>
    <row r="68" spans="1:17" x14ac:dyDescent="0.3">
      <c r="A68" s="113"/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</row>
    <row r="69" spans="1:17" x14ac:dyDescent="0.3">
      <c r="A69" s="113"/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</row>
  </sheetData>
  <sheetProtection algorithmName="SHA-512" hashValue="BczWjOQGt+LOVgBv7fg+IAUUBhEmscyxW4fxVY7+s3IT9xk3eyugtozf05HXbwXr+dCs+ks92Cq3YJ3Kpj5+hQ==" saltValue="3aCVMjiE3dcuFZ8D2fMvGw==" spinCount="100000" sheet="1" objects="1" scenarios="1"/>
  <mergeCells count="46">
    <mergeCell ref="F10:F12"/>
    <mergeCell ref="K10:K12"/>
    <mergeCell ref="J10:J12"/>
    <mergeCell ref="H10:H12"/>
    <mergeCell ref="G10:G12"/>
    <mergeCell ref="I10:I12"/>
    <mergeCell ref="A10:A12"/>
    <mergeCell ref="B10:B12"/>
    <mergeCell ref="C10:C12"/>
    <mergeCell ref="D10:D12"/>
    <mergeCell ref="E10:E12"/>
    <mergeCell ref="P10:P12"/>
    <mergeCell ref="L10:L11"/>
    <mergeCell ref="M10:M11"/>
    <mergeCell ref="N10:N12"/>
    <mergeCell ref="O10:O12"/>
    <mergeCell ref="A58:P58"/>
    <mergeCell ref="A59:P59"/>
    <mergeCell ref="A60:P60"/>
    <mergeCell ref="A38:P38"/>
    <mergeCell ref="A39:P39"/>
    <mergeCell ref="A40:P40"/>
    <mergeCell ref="A41:P41"/>
    <mergeCell ref="A49:P49"/>
    <mergeCell ref="A50:P50"/>
    <mergeCell ref="A51:P51"/>
    <mergeCell ref="A52:P52"/>
    <mergeCell ref="A53:P53"/>
    <mergeCell ref="A54:P54"/>
    <mergeCell ref="A55:P55"/>
    <mergeCell ref="A56:P56"/>
    <mergeCell ref="A57:P57"/>
    <mergeCell ref="A33:P33"/>
    <mergeCell ref="A34:P34"/>
    <mergeCell ref="A35:P35"/>
    <mergeCell ref="A36:P36"/>
    <mergeCell ref="A37:P37"/>
    <mergeCell ref="A66:P66"/>
    <mergeCell ref="A67:P67"/>
    <mergeCell ref="A68:P68"/>
    <mergeCell ref="A69:P69"/>
    <mergeCell ref="A61:P61"/>
    <mergeCell ref="A62:P62"/>
    <mergeCell ref="A63:P63"/>
    <mergeCell ref="A64:P64"/>
    <mergeCell ref="A65:P65"/>
  </mergeCells>
  <phoneticPr fontId="0" type="noConversion"/>
  <printOptions horizontalCentered="1"/>
  <pageMargins left="1.0629921259842521" right="0.78740157480314965" top="0.59055118110236227" bottom="0.59055118110236227" header="0.51181102362204722" footer="0.31496062992125984"/>
  <pageSetup paperSize="9" scale="63" orientation="landscape" r:id="rId1"/>
  <headerFooter>
    <oddFooter>&amp;L&amp;G&amp;C&amp;"Segoe UI Semilight,Standard"&amp;K1D71B8Bern | Biel/Bienne&amp;R&amp;"Segoe UI Semilight,Standard"&amp;K1D71B8strasser-ag.ch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AD70"/>
  <sheetViews>
    <sheetView showGridLines="0" zoomScale="90" zoomScaleNormal="90" workbookViewId="0">
      <selection activeCell="B20" sqref="B20"/>
    </sheetView>
  </sheetViews>
  <sheetFormatPr baseColWidth="10" defaultColWidth="4.85546875" defaultRowHeight="16.5" x14ac:dyDescent="0.3"/>
  <cols>
    <col min="1" max="1" width="16" style="25" customWidth="1"/>
    <col min="2" max="15" width="12.140625" style="25" customWidth="1"/>
    <col min="16" max="16" width="11.85546875" style="25" bestFit="1" customWidth="1"/>
    <col min="17" max="17" width="10.7109375" style="25" hidden="1" customWidth="1"/>
    <col min="18" max="18" width="11" style="25" hidden="1" customWidth="1"/>
    <col min="19" max="19" width="10.7109375" style="25" hidden="1" customWidth="1"/>
    <col min="20" max="20" width="11" style="25" hidden="1" customWidth="1"/>
    <col min="21" max="21" width="14.28515625" style="25" hidden="1" customWidth="1"/>
    <col min="22" max="22" width="13.5703125" style="25" hidden="1" customWidth="1"/>
    <col min="23" max="23" width="7.28515625" style="25" hidden="1" customWidth="1"/>
    <col min="24" max="24" width="9.140625" style="25" hidden="1" customWidth="1"/>
    <col min="25" max="25" width="11.85546875" style="25" hidden="1" customWidth="1"/>
    <col min="26" max="26" width="13" style="25" hidden="1" customWidth="1"/>
    <col min="27" max="27" width="16.42578125" style="25" hidden="1" customWidth="1"/>
    <col min="28" max="28" width="11.28515625" style="25" hidden="1" customWidth="1"/>
    <col min="29" max="30" width="14.28515625" style="25" hidden="1" customWidth="1"/>
    <col min="31" max="31" width="4.5703125" style="25" customWidth="1"/>
    <col min="32" max="16384" width="4.85546875" style="25"/>
  </cols>
  <sheetData>
    <row r="1" spans="1:18" s="34" customFormat="1" ht="20.25" x14ac:dyDescent="0.35">
      <c r="A1" s="32" t="s">
        <v>42</v>
      </c>
      <c r="B1" s="33">
        <f>Jahr</f>
        <v>2025</v>
      </c>
      <c r="P1" s="35">
        <f>Firma</f>
        <v>0</v>
      </c>
    </row>
    <row r="2" spans="1:18" s="34" customFormat="1" ht="20.25" x14ac:dyDescent="0.35">
      <c r="E2" s="36"/>
      <c r="P2" s="35">
        <f>Ort</f>
        <v>0</v>
      </c>
    </row>
    <row r="3" spans="1:18" s="34" customFormat="1" x14ac:dyDescent="0.3">
      <c r="Q3" s="37"/>
    </row>
    <row r="4" spans="1:18" s="34" customFormat="1" x14ac:dyDescent="0.3">
      <c r="A4" s="38" t="s">
        <v>2</v>
      </c>
      <c r="C4" s="126"/>
      <c r="D4" s="126"/>
      <c r="E4" s="126"/>
      <c r="G4" s="39" t="s">
        <v>3</v>
      </c>
      <c r="H4" s="124"/>
      <c r="I4" s="124"/>
      <c r="J4" s="40" t="str">
        <f>IF(H4&gt;R31,"Achtung, ungültiges Datum"," ")</f>
        <v xml:space="preserve"> </v>
      </c>
      <c r="R4" s="41">
        <f>IF(H4&gt;Q20,H4,Q20)</f>
        <v>45658</v>
      </c>
    </row>
    <row r="5" spans="1:18" s="34" customFormat="1" x14ac:dyDescent="0.3">
      <c r="A5" s="38" t="s">
        <v>4</v>
      </c>
      <c r="C5" s="127"/>
      <c r="D5" s="127"/>
      <c r="E5" s="127"/>
      <c r="G5" s="39" t="s">
        <v>5</v>
      </c>
      <c r="H5" s="124"/>
      <c r="I5" s="124"/>
      <c r="J5" s="40" t="str">
        <f>IF(H5=0," ",IF(H5&lt;Q20,"Achtung, ungültiges Datum"," "))</f>
        <v xml:space="preserve"> </v>
      </c>
      <c r="R5" s="41">
        <f>IF(H5=0,R31,IF(H5&gt;R31,R31,H5))</f>
        <v>46022</v>
      </c>
    </row>
    <row r="6" spans="1:18" s="34" customFormat="1" ht="17.649999999999999" customHeight="1" x14ac:dyDescent="0.3">
      <c r="A6" s="38" t="s">
        <v>6</v>
      </c>
      <c r="C6" s="127"/>
      <c r="D6" s="127"/>
      <c r="E6" s="127"/>
      <c r="H6" s="42" t="str">
        <f>IF(H5&lt;H4,IF(H5="","","Achtung: Fehler Eintritt / Austritt"),"")</f>
        <v/>
      </c>
      <c r="I6" s="43"/>
    </row>
    <row r="7" spans="1:18" s="34" customFormat="1" ht="17.649999999999999" customHeight="1" x14ac:dyDescent="0.3">
      <c r="A7" s="38" t="s">
        <v>33</v>
      </c>
      <c r="C7" s="127"/>
      <c r="D7" s="127"/>
      <c r="E7" s="127"/>
      <c r="G7" s="39" t="s">
        <v>7</v>
      </c>
      <c r="I7" s="89"/>
      <c r="J7" s="45" t="str">
        <f>IF(E13=1,IF(I7="M","Achtung: Mitarbeiter wird pensioniert per:",IF(E13=1,"Achtung: Mitarbeiterin wird pensioniert per:","")),"")</f>
        <v/>
      </c>
      <c r="N7" s="46" t="str">
        <f>IF(E13=1,C14," ")</f>
        <v xml:space="preserve"> </v>
      </c>
      <c r="O7" s="46"/>
    </row>
    <row r="8" spans="1:18" s="34" customFormat="1" x14ac:dyDescent="0.3">
      <c r="A8" s="38"/>
      <c r="C8" s="42" t="str">
        <f>IF((B35+C35)&lt;&gt;0,IF(C4="","Achtung: Name, Vorname und Adresse eingeben!",""),"")</f>
        <v/>
      </c>
      <c r="D8" s="37"/>
      <c r="E8" s="37"/>
      <c r="I8" s="42"/>
      <c r="K8" s="43"/>
    </row>
    <row r="9" spans="1:18" s="34" customFormat="1" x14ac:dyDescent="0.3">
      <c r="A9" s="38" t="s">
        <v>54</v>
      </c>
      <c r="C9" s="122"/>
      <c r="D9" s="122"/>
      <c r="E9" s="90"/>
      <c r="F9" s="91" t="str">
        <f ca="1">IF(D13&gt;=1,"Referenzalter erreicht ab","")</f>
        <v/>
      </c>
      <c r="G9" s="61" t="str">
        <f ca="1">IF(D13=1,C14, " ")</f>
        <v xml:space="preserve"> </v>
      </c>
      <c r="H9" s="51" t="str">
        <f ca="1">IF(F9&gt;" ","AHV-Freibetrag von Fr. 1'400.-- pro Monat berücksichtigen! Kein ALV-Abzug mehr; Korrektur unter Spalte M oder N","")</f>
        <v/>
      </c>
      <c r="M9" s="1"/>
      <c r="N9" s="1"/>
      <c r="O9" s="1"/>
      <c r="P9" s="1"/>
      <c r="Q9" s="1"/>
    </row>
    <row r="10" spans="1:18" s="34" customFormat="1" x14ac:dyDescent="0.3">
      <c r="A10" s="38" t="s">
        <v>55</v>
      </c>
      <c r="C10" s="122"/>
      <c r="D10" s="122"/>
      <c r="E10" s="37"/>
      <c r="F10" s="45"/>
      <c r="G10" s="51"/>
      <c r="H10" s="123" t="str">
        <f ca="1">IF(H9&gt;" ","Mitarbeitende können neu freiwillig auf den AHV-Freibetrag verzichten","")</f>
        <v/>
      </c>
      <c r="I10" s="123"/>
      <c r="J10" s="123"/>
      <c r="K10" s="123"/>
      <c r="L10" s="123"/>
    </row>
    <row r="11" spans="1:18" s="34" customFormat="1" x14ac:dyDescent="0.3">
      <c r="A11" s="38"/>
      <c r="C11" s="52"/>
      <c r="D11" s="52"/>
      <c r="E11" s="45"/>
      <c r="F11" s="53" t="str">
        <f>IF(F13&lt;18,IF(C13&gt;0,"Achtung:",""),"")</f>
        <v/>
      </c>
      <c r="G11" s="51" t="str">
        <f>IF(F11&gt;" ","Angestellte Person ist unter 18 Jahre!","")</f>
        <v/>
      </c>
      <c r="P11" s="54"/>
    </row>
    <row r="12" spans="1:18" s="34" customFormat="1" x14ac:dyDescent="0.3">
      <c r="A12" s="38" t="s">
        <v>8</v>
      </c>
      <c r="C12" s="125"/>
      <c r="D12" s="125"/>
      <c r="E12" s="45"/>
      <c r="F12" s="55"/>
      <c r="G12" s="51" t="str">
        <f>IF(F11&gt;" ","Lohn unter 'nicht AHV-pflichtig' eintragen und ALV manuell auf 0% stellen!","")</f>
        <v/>
      </c>
      <c r="H12" s="55"/>
      <c r="I12" s="55"/>
    </row>
    <row r="13" spans="1:18" s="34" customFormat="1" hidden="1" x14ac:dyDescent="0.3">
      <c r="A13" s="56" t="s">
        <v>62</v>
      </c>
      <c r="B13" s="57"/>
      <c r="C13" s="58" t="b">
        <f>IF($C$12&gt;0,IF(I7="W",EDATE($C$12,(12*64.33)),IF(I7="M",EDATE($C$12,65*12))))</f>
        <v>0</v>
      </c>
      <c r="D13" s="59">
        <f ca="1">IF(C14&gt;TODAY(),0,1)</f>
        <v>0</v>
      </c>
      <c r="E13" s="60">
        <f>IF(C14-($Q$20-1)&lt;365.25,IF(C14-($Q$20-1)&gt;0,1,0),0)</f>
        <v>0</v>
      </c>
      <c r="F13" s="34">
        <f>(R31-C12)/365.25</f>
        <v>126.00136892539356</v>
      </c>
    </row>
    <row r="14" spans="1:18" s="34" customFormat="1" hidden="1" x14ac:dyDescent="0.3">
      <c r="A14" s="56" t="s">
        <v>63</v>
      </c>
      <c r="B14" s="57"/>
      <c r="C14" s="61">
        <f>IFERROR(IF(I7="W",IF(C12&gt;22281,EOMONTH(C13,1),EOMONTH(C13,-2)),EOMONTH(C13,1)),DATE(2900,1,1))</f>
        <v>365245</v>
      </c>
      <c r="E14" s="60"/>
    </row>
    <row r="15" spans="1:18" s="34" customFormat="1" x14ac:dyDescent="0.3">
      <c r="A15" s="37"/>
      <c r="D15" s="130" t="s">
        <v>41</v>
      </c>
      <c r="E15" s="130"/>
      <c r="F15" s="130"/>
      <c r="G15" s="131"/>
      <c r="H15" s="62"/>
      <c r="I15" s="63"/>
      <c r="J15" s="62"/>
      <c r="K15" s="62"/>
    </row>
    <row r="16" spans="1:18" s="16" customFormat="1" ht="12.75" customHeight="1" x14ac:dyDescent="0.25">
      <c r="A16" s="117" t="s">
        <v>9</v>
      </c>
      <c r="B16" s="117" t="str">
        <f>Zusammenstellung!C21</f>
        <v>AHV-Lohn</v>
      </c>
      <c r="C16" s="117" t="str">
        <f>Zusammenstellung!D21</f>
        <v>nicht AHV-pflichtig</v>
      </c>
      <c r="D16" s="117" t="str">
        <f>Zusammenstellung!E21</f>
        <v>Unfall- und
Kranken-
taggeld</v>
      </c>
      <c r="E16" s="117" t="str">
        <f>Zusammenstellung!F21</f>
        <v>Kinder-
zulagen</v>
      </c>
      <c r="F16" s="117" t="str">
        <f>Zusammenstellung!G21</f>
        <v>Total Bruttolohn</v>
      </c>
      <c r="G16" s="128" t="str">
        <f>Zusammenstellung!H21</f>
        <v>AHV</v>
      </c>
      <c r="H16" s="128" t="str">
        <f>Zusammenstellung!I21</f>
        <v>ALV</v>
      </c>
      <c r="I16" s="117" t="str">
        <f>Zusammenstellung!J21</f>
        <v>BVG</v>
      </c>
      <c r="J16" s="128" t="str">
        <f>Zusammenstellung!K21</f>
        <v>NBU</v>
      </c>
      <c r="K16" s="128" t="str">
        <f>Zusammenstellung!L21</f>
        <v>KTG</v>
      </c>
      <c r="L16" s="120"/>
      <c r="M16" s="120"/>
      <c r="N16" s="117" t="str">
        <f>Zusammenstellung!O21</f>
        <v>Nettolohn</v>
      </c>
      <c r="O16" s="117" t="str">
        <f>Zusammenstellung!P21</f>
        <v xml:space="preserve">Spesen </v>
      </c>
      <c r="P16" s="117" t="str">
        <f>Zusammenstellung!Q21</f>
        <v>Auszahlung</v>
      </c>
    </row>
    <row r="17" spans="1:29" s="16" customFormat="1" ht="14.25" x14ac:dyDescent="0.25">
      <c r="A17" s="118"/>
      <c r="B17" s="118"/>
      <c r="C17" s="118"/>
      <c r="D17" s="118"/>
      <c r="E17" s="118"/>
      <c r="F17" s="118"/>
      <c r="G17" s="129"/>
      <c r="H17" s="129"/>
      <c r="I17" s="118"/>
      <c r="J17" s="129"/>
      <c r="K17" s="129"/>
      <c r="L17" s="121"/>
      <c r="M17" s="121"/>
      <c r="N17" s="118"/>
      <c r="O17" s="118"/>
      <c r="P17" s="118"/>
      <c r="Q17" s="115" t="s">
        <v>9</v>
      </c>
      <c r="R17" s="116"/>
      <c r="S17" s="116" t="s">
        <v>45</v>
      </c>
      <c r="T17" s="116"/>
      <c r="U17" s="16" t="s">
        <v>46</v>
      </c>
      <c r="V17" s="16" t="s">
        <v>47</v>
      </c>
      <c r="W17" s="16" t="s">
        <v>50</v>
      </c>
      <c r="X17" s="16" t="s">
        <v>60</v>
      </c>
      <c r="Y17" s="16" t="s">
        <v>51</v>
      </c>
      <c r="Z17" s="16" t="s">
        <v>61</v>
      </c>
      <c r="AA17" s="16" t="s">
        <v>49</v>
      </c>
      <c r="AB17" s="16" t="s">
        <v>48</v>
      </c>
      <c r="AC17" s="16" t="s">
        <v>59</v>
      </c>
    </row>
    <row r="18" spans="1:29" s="16" customFormat="1" ht="14.25" x14ac:dyDescent="0.2">
      <c r="A18" s="119"/>
      <c r="B18" s="119"/>
      <c r="C18" s="119"/>
      <c r="D18" s="119"/>
      <c r="E18" s="119"/>
      <c r="F18" s="119"/>
      <c r="G18" s="64">
        <f>AHV</f>
        <v>5.2999999999999999E-2</v>
      </c>
      <c r="H18" s="64">
        <f>IF(H15="",ALV,H15)</f>
        <v>1.0999999999999999E-2</v>
      </c>
      <c r="I18" s="119"/>
      <c r="J18" s="64">
        <f>IF(J15="",NBU,J15)</f>
        <v>1.4E-2</v>
      </c>
      <c r="K18" s="64">
        <f>IF(K15="",IF(I7="w",KTGW,KTG),K15)</f>
        <v>0.01</v>
      </c>
      <c r="L18" s="17"/>
      <c r="M18" s="17"/>
      <c r="N18" s="119"/>
      <c r="O18" s="119"/>
      <c r="P18" s="119"/>
      <c r="Q18" s="65" t="s">
        <v>43</v>
      </c>
      <c r="R18" s="65" t="s">
        <v>44</v>
      </c>
      <c r="S18" s="65" t="s">
        <v>43</v>
      </c>
      <c r="T18" s="65" t="s">
        <v>44</v>
      </c>
    </row>
    <row r="19" spans="1:29" s="16" customFormat="1" x14ac:dyDescent="0.3">
      <c r="A19" s="63"/>
      <c r="B19" s="63"/>
      <c r="C19" s="63"/>
      <c r="D19" s="63"/>
      <c r="E19" s="63"/>
      <c r="F19" s="63"/>
      <c r="G19" s="66"/>
      <c r="H19" s="66"/>
      <c r="I19" s="63"/>
      <c r="J19" s="66"/>
      <c r="K19" s="66"/>
      <c r="L19" s="66"/>
      <c r="M19" s="66"/>
      <c r="N19" s="63"/>
      <c r="O19" s="63"/>
      <c r="P19" s="63"/>
      <c r="Z19" s="67"/>
    </row>
    <row r="20" spans="1:29" x14ac:dyDescent="0.3">
      <c r="A20" s="68">
        <v>38383</v>
      </c>
      <c r="B20" s="69"/>
      <c r="C20" s="69"/>
      <c r="D20" s="69"/>
      <c r="E20" s="69"/>
      <c r="F20" s="70">
        <f>SUM(B20:E20)</f>
        <v>0</v>
      </c>
      <c r="G20" s="71">
        <f>ROUND($B20*G$18/5,2)*5</f>
        <v>0</v>
      </c>
      <c r="H20" s="71">
        <f t="shared" ref="H20:H33" si="0">ROUND(W20*$H$18/5,2)*5</f>
        <v>0</v>
      </c>
      <c r="I20" s="69"/>
      <c r="J20" s="71">
        <f t="shared" ref="J20:J33" si="1">ROUND(W20*$J$18/5,2)*5</f>
        <v>0</v>
      </c>
      <c r="K20" s="71">
        <f t="shared" ref="K20:K33" si="2">ROUND(($B20+$C20)*K$18/5,2)*5</f>
        <v>0</v>
      </c>
      <c r="L20" s="69"/>
      <c r="M20" s="69"/>
      <c r="N20" s="71">
        <f>F20-G20-H20-J20-K20-L20-M20-I20</f>
        <v>0</v>
      </c>
      <c r="O20" s="69"/>
      <c r="P20" s="70">
        <f>N20+O20</f>
        <v>0</v>
      </c>
      <c r="Q20" s="72">
        <v>45658</v>
      </c>
      <c r="R20" s="41">
        <f>Q20+30</f>
        <v>45688</v>
      </c>
      <c r="S20" s="41">
        <f>IF($R$4&gt;R20,0,IF($R$4&gt;Q20,$R$4,Q20))</f>
        <v>45658</v>
      </c>
      <c r="T20" s="41">
        <f>IF(S20=0,0,IF($R$5&gt;R20,R20,IF(S20&gt;$R$5,(S20)-1,$R$5)))</f>
        <v>45688</v>
      </c>
      <c r="U20" s="73">
        <f>IF(S20=0,0,DAYS360(S20,T20,1)+1)</f>
        <v>30</v>
      </c>
      <c r="V20" s="73">
        <f>U20</f>
        <v>30</v>
      </c>
      <c r="W20" s="67">
        <f>IF(AA20&gt;AB20,AB20-Y19,AA20-Y19)</f>
        <v>0</v>
      </c>
      <c r="X20" s="67">
        <f>IF(AA20&lt;(AB20),0,IF(AA20&gt;(AB20+AC20),AC20-Z19,AA20-Z19-AB20))</f>
        <v>0</v>
      </c>
      <c r="Y20" s="67">
        <f>W20</f>
        <v>0</v>
      </c>
      <c r="Z20" s="67">
        <f>X20</f>
        <v>0</v>
      </c>
      <c r="AA20" s="67">
        <f>B20+C20</f>
        <v>0</v>
      </c>
      <c r="AB20" s="67">
        <f>ALVMAX/360*V20</f>
        <v>12350</v>
      </c>
      <c r="AC20" s="67">
        <f>(ALVMAX2/360*V20)-AB20</f>
        <v>8320983.2500000009</v>
      </c>
    </row>
    <row r="21" spans="1:29" x14ac:dyDescent="0.3">
      <c r="A21" s="68">
        <v>38411</v>
      </c>
      <c r="B21" s="69"/>
      <c r="C21" s="69"/>
      <c r="D21" s="69"/>
      <c r="E21" s="69"/>
      <c r="F21" s="70">
        <f t="shared" ref="F21:F33" si="3">SUM(B21:E21)</f>
        <v>0</v>
      </c>
      <c r="G21" s="71">
        <f t="shared" ref="G21:G33" si="4">ROUND(B21*$G$18/5,2)*5</f>
        <v>0</v>
      </c>
      <c r="H21" s="71">
        <f t="shared" si="0"/>
        <v>0</v>
      </c>
      <c r="I21" s="69"/>
      <c r="J21" s="71">
        <f t="shared" si="1"/>
        <v>0</v>
      </c>
      <c r="K21" s="71">
        <f t="shared" si="2"/>
        <v>0</v>
      </c>
      <c r="L21" s="69"/>
      <c r="M21" s="69"/>
      <c r="N21" s="71">
        <f t="shared" ref="N21:N32" si="5">F21-G21-H21-J21-K21-L21-M21-I21</f>
        <v>0</v>
      </c>
      <c r="O21" s="69"/>
      <c r="P21" s="70">
        <f t="shared" ref="P21:P33" si="6">N21+O21</f>
        <v>0</v>
      </c>
      <c r="Q21" s="41">
        <f>R20+1</f>
        <v>45689</v>
      </c>
      <c r="R21" s="72">
        <v>45716</v>
      </c>
      <c r="S21" s="41">
        <f t="shared" ref="S21:S31" si="7">IF($R$4&gt;R21,0,IF($R$4&gt;Q21,$R$4,Q21))</f>
        <v>45689</v>
      </c>
      <c r="T21" s="41">
        <f t="shared" ref="T21:T31" si="8">IF(S21=0,0,IF($R$5&gt;R21,R21,IF(S21&gt;$R$5,(S21)-1,$R$5)))</f>
        <v>45716</v>
      </c>
      <c r="U21" s="73">
        <f>IF(S21=0,0,IF(R21=T21,DAYS360(S21,T21,1)+3,DAYS360(S21,T21,1)+1))</f>
        <v>30</v>
      </c>
      <c r="V21" s="73">
        <f>V20+U21</f>
        <v>60</v>
      </c>
      <c r="W21" s="67">
        <f>IF(AA21&gt;AB21,AB21-Y20,AA21-Y20)</f>
        <v>0</v>
      </c>
      <c r="X21" s="67">
        <f>IF(AA21&lt;(AB21),0,IF(AA21&gt;(AB21+AC21),AC21-Z20,AA21-Z20-AB21))</f>
        <v>0</v>
      </c>
      <c r="Y21" s="67">
        <f t="shared" ref="Y21:Y33" si="9">Y20+W21</f>
        <v>0</v>
      </c>
      <c r="Z21" s="67">
        <f>X21+Z20</f>
        <v>0</v>
      </c>
      <c r="AA21" s="67">
        <f t="shared" ref="AA21:AA33" si="10">AA20+B21+C21</f>
        <v>0</v>
      </c>
      <c r="AB21" s="67">
        <f t="shared" ref="AB21:AB31" si="11">ALVMAX/360*V21</f>
        <v>24700</v>
      </c>
      <c r="AC21" s="67">
        <f t="shared" ref="AC21:AC33" si="12">(ALVMAX2/360*V21)-AB21</f>
        <v>16641966.500000002</v>
      </c>
    </row>
    <row r="22" spans="1:29" x14ac:dyDescent="0.3">
      <c r="A22" s="68">
        <v>38442</v>
      </c>
      <c r="B22" s="69"/>
      <c r="C22" s="69"/>
      <c r="D22" s="69"/>
      <c r="E22" s="69"/>
      <c r="F22" s="70">
        <f t="shared" si="3"/>
        <v>0</v>
      </c>
      <c r="G22" s="71">
        <f t="shared" si="4"/>
        <v>0</v>
      </c>
      <c r="H22" s="71">
        <f t="shared" si="0"/>
        <v>0</v>
      </c>
      <c r="I22" s="69"/>
      <c r="J22" s="71">
        <f t="shared" si="1"/>
        <v>0</v>
      </c>
      <c r="K22" s="71">
        <f t="shared" si="2"/>
        <v>0</v>
      </c>
      <c r="L22" s="69"/>
      <c r="M22" s="69"/>
      <c r="N22" s="71">
        <f t="shared" si="5"/>
        <v>0</v>
      </c>
      <c r="O22" s="69"/>
      <c r="P22" s="70">
        <f t="shared" si="6"/>
        <v>0</v>
      </c>
      <c r="Q22" s="41">
        <f>R21+1</f>
        <v>45717</v>
      </c>
      <c r="R22" s="41">
        <f>Q22+30</f>
        <v>45747</v>
      </c>
      <c r="S22" s="41">
        <f t="shared" si="7"/>
        <v>45717</v>
      </c>
      <c r="T22" s="41">
        <f t="shared" si="8"/>
        <v>45747</v>
      </c>
      <c r="U22" s="73">
        <f>IF(S22=0,0,IF(T22=R21,DAYS360(S22,T22,1)+3,DAYS360(S22,T22,1)+1))</f>
        <v>30</v>
      </c>
      <c r="V22" s="73">
        <f t="shared" ref="V22:V31" si="13">V21+U22</f>
        <v>90</v>
      </c>
      <c r="W22" s="67">
        <f>IF(AA22&gt;AB22,AB22-Y21,AA22-Y21)</f>
        <v>0</v>
      </c>
      <c r="X22" s="67">
        <f t="shared" ref="X22:X33" si="14">IF(AA22&lt;(AB22),0,IF(AA22&gt;(AB22+AC22),AC22-Z21,AA22-Z21-AB22))</f>
        <v>0</v>
      </c>
      <c r="Y22" s="67">
        <f t="shared" si="9"/>
        <v>0</v>
      </c>
      <c r="Z22" s="67">
        <f t="shared" ref="Z22:Z33" si="15">X22+Z21</f>
        <v>0</v>
      </c>
      <c r="AA22" s="67">
        <f t="shared" si="10"/>
        <v>0</v>
      </c>
      <c r="AB22" s="67">
        <f t="shared" si="11"/>
        <v>37050</v>
      </c>
      <c r="AC22" s="67">
        <f t="shared" si="12"/>
        <v>24962949.750000004</v>
      </c>
    </row>
    <row r="23" spans="1:29" x14ac:dyDescent="0.3">
      <c r="A23" s="68">
        <v>38472</v>
      </c>
      <c r="B23" s="69"/>
      <c r="C23" s="69"/>
      <c r="D23" s="69"/>
      <c r="E23" s="69"/>
      <c r="F23" s="70">
        <f t="shared" si="3"/>
        <v>0</v>
      </c>
      <c r="G23" s="71">
        <f t="shared" si="4"/>
        <v>0</v>
      </c>
      <c r="H23" s="71">
        <f t="shared" si="0"/>
        <v>0</v>
      </c>
      <c r="I23" s="69"/>
      <c r="J23" s="71">
        <f t="shared" si="1"/>
        <v>0</v>
      </c>
      <c r="K23" s="71">
        <f t="shared" si="2"/>
        <v>0</v>
      </c>
      <c r="L23" s="69"/>
      <c r="M23" s="69"/>
      <c r="N23" s="71">
        <f t="shared" si="5"/>
        <v>0</v>
      </c>
      <c r="O23" s="69"/>
      <c r="P23" s="70">
        <f t="shared" si="6"/>
        <v>0</v>
      </c>
      <c r="Q23" s="41">
        <f t="shared" ref="Q23:Q31" si="16">R22+1</f>
        <v>45748</v>
      </c>
      <c r="R23" s="41">
        <f>Q23+29</f>
        <v>45777</v>
      </c>
      <c r="S23" s="41">
        <f t="shared" si="7"/>
        <v>45748</v>
      </c>
      <c r="T23" s="41">
        <f t="shared" si="8"/>
        <v>45777</v>
      </c>
      <c r="U23" s="73">
        <f t="shared" ref="U23:U31" si="17">IF(S23=0,0,DAYS360(S23,T23,1)+1)</f>
        <v>30</v>
      </c>
      <c r="V23" s="73">
        <f t="shared" si="13"/>
        <v>120</v>
      </c>
      <c r="W23" s="67">
        <f t="shared" ref="W23:W33" si="18">IF(AA23&gt;AB23,AB23-Y22,AA23-Y22)</f>
        <v>0</v>
      </c>
      <c r="X23" s="67">
        <f>IF(AA23&lt;(AB23),0,IF(AA23&gt;(AB23+AC23),AC23-Z22,AA23-Z22-AB23))</f>
        <v>0</v>
      </c>
      <c r="Y23" s="67">
        <f t="shared" si="9"/>
        <v>0</v>
      </c>
      <c r="Z23" s="67">
        <f t="shared" si="15"/>
        <v>0</v>
      </c>
      <c r="AA23" s="67">
        <f t="shared" si="10"/>
        <v>0</v>
      </c>
      <c r="AB23" s="67">
        <f t="shared" si="11"/>
        <v>49400</v>
      </c>
      <c r="AC23" s="67">
        <f t="shared" si="12"/>
        <v>33283933.000000004</v>
      </c>
    </row>
    <row r="24" spans="1:29" x14ac:dyDescent="0.3">
      <c r="A24" s="68">
        <v>38503</v>
      </c>
      <c r="B24" s="69"/>
      <c r="C24" s="69"/>
      <c r="D24" s="69"/>
      <c r="E24" s="69"/>
      <c r="F24" s="70">
        <f t="shared" si="3"/>
        <v>0</v>
      </c>
      <c r="G24" s="71">
        <f t="shared" si="4"/>
        <v>0</v>
      </c>
      <c r="H24" s="71">
        <f t="shared" si="0"/>
        <v>0</v>
      </c>
      <c r="I24" s="69"/>
      <c r="J24" s="71">
        <f t="shared" si="1"/>
        <v>0</v>
      </c>
      <c r="K24" s="71">
        <f t="shared" si="2"/>
        <v>0</v>
      </c>
      <c r="L24" s="69"/>
      <c r="M24" s="69"/>
      <c r="N24" s="71">
        <f t="shared" si="5"/>
        <v>0</v>
      </c>
      <c r="O24" s="69"/>
      <c r="P24" s="70">
        <f t="shared" si="6"/>
        <v>0</v>
      </c>
      <c r="Q24" s="41">
        <f t="shared" si="16"/>
        <v>45778</v>
      </c>
      <c r="R24" s="41">
        <f>Q24+30</f>
        <v>45808</v>
      </c>
      <c r="S24" s="41">
        <f t="shared" si="7"/>
        <v>45778</v>
      </c>
      <c r="T24" s="41">
        <f t="shared" si="8"/>
        <v>45808</v>
      </c>
      <c r="U24" s="73">
        <f t="shared" si="17"/>
        <v>30</v>
      </c>
      <c r="V24" s="73">
        <f t="shared" si="13"/>
        <v>150</v>
      </c>
      <c r="W24" s="67">
        <f t="shared" si="18"/>
        <v>0</v>
      </c>
      <c r="X24" s="67">
        <f t="shared" si="14"/>
        <v>0</v>
      </c>
      <c r="Y24" s="67">
        <f t="shared" si="9"/>
        <v>0</v>
      </c>
      <c r="Z24" s="67">
        <f t="shared" si="15"/>
        <v>0</v>
      </c>
      <c r="AA24" s="67">
        <f t="shared" si="10"/>
        <v>0</v>
      </c>
      <c r="AB24" s="67">
        <f t="shared" si="11"/>
        <v>61750</v>
      </c>
      <c r="AC24" s="67">
        <f t="shared" si="12"/>
        <v>41604916.25</v>
      </c>
    </row>
    <row r="25" spans="1:29" x14ac:dyDescent="0.3">
      <c r="A25" s="68">
        <v>38533</v>
      </c>
      <c r="B25" s="69"/>
      <c r="C25" s="69"/>
      <c r="D25" s="69"/>
      <c r="E25" s="69"/>
      <c r="F25" s="70">
        <f t="shared" si="3"/>
        <v>0</v>
      </c>
      <c r="G25" s="71">
        <f t="shared" si="4"/>
        <v>0</v>
      </c>
      <c r="H25" s="71">
        <f t="shared" si="0"/>
        <v>0</v>
      </c>
      <c r="I25" s="69"/>
      <c r="J25" s="71">
        <f t="shared" si="1"/>
        <v>0</v>
      </c>
      <c r="K25" s="71">
        <f t="shared" si="2"/>
        <v>0</v>
      </c>
      <c r="L25" s="69"/>
      <c r="M25" s="69"/>
      <c r="N25" s="71">
        <f t="shared" si="5"/>
        <v>0</v>
      </c>
      <c r="O25" s="69"/>
      <c r="P25" s="70">
        <f t="shared" si="6"/>
        <v>0</v>
      </c>
      <c r="Q25" s="41">
        <f t="shared" si="16"/>
        <v>45809</v>
      </c>
      <c r="R25" s="41">
        <f>Q25+29</f>
        <v>45838</v>
      </c>
      <c r="S25" s="41">
        <f t="shared" si="7"/>
        <v>45809</v>
      </c>
      <c r="T25" s="41">
        <f t="shared" si="8"/>
        <v>45838</v>
      </c>
      <c r="U25" s="73">
        <f t="shared" si="17"/>
        <v>30</v>
      </c>
      <c r="V25" s="73">
        <f t="shared" si="13"/>
        <v>180</v>
      </c>
      <c r="W25" s="67">
        <f t="shared" si="18"/>
        <v>0</v>
      </c>
      <c r="X25" s="67">
        <f t="shared" si="14"/>
        <v>0</v>
      </c>
      <c r="Y25" s="67">
        <f t="shared" si="9"/>
        <v>0</v>
      </c>
      <c r="Z25" s="67">
        <f t="shared" si="15"/>
        <v>0</v>
      </c>
      <c r="AA25" s="67">
        <f t="shared" si="10"/>
        <v>0</v>
      </c>
      <c r="AB25" s="67">
        <f t="shared" si="11"/>
        <v>74100</v>
      </c>
      <c r="AC25" s="67">
        <f t="shared" si="12"/>
        <v>49925899.500000007</v>
      </c>
    </row>
    <row r="26" spans="1:29" x14ac:dyDescent="0.3">
      <c r="A26" s="68">
        <v>38564</v>
      </c>
      <c r="B26" s="69"/>
      <c r="C26" s="69"/>
      <c r="D26" s="69"/>
      <c r="E26" s="69"/>
      <c r="F26" s="70">
        <f t="shared" si="3"/>
        <v>0</v>
      </c>
      <c r="G26" s="71">
        <f t="shared" si="4"/>
        <v>0</v>
      </c>
      <c r="H26" s="71">
        <f t="shared" si="0"/>
        <v>0</v>
      </c>
      <c r="I26" s="69"/>
      <c r="J26" s="71">
        <f t="shared" si="1"/>
        <v>0</v>
      </c>
      <c r="K26" s="71">
        <f t="shared" si="2"/>
        <v>0</v>
      </c>
      <c r="L26" s="69"/>
      <c r="M26" s="69"/>
      <c r="N26" s="71">
        <f t="shared" si="5"/>
        <v>0</v>
      </c>
      <c r="O26" s="69"/>
      <c r="P26" s="70">
        <f t="shared" si="6"/>
        <v>0</v>
      </c>
      <c r="Q26" s="41">
        <f t="shared" si="16"/>
        <v>45839</v>
      </c>
      <c r="R26" s="41">
        <f>Q26+30</f>
        <v>45869</v>
      </c>
      <c r="S26" s="41">
        <f t="shared" si="7"/>
        <v>45839</v>
      </c>
      <c r="T26" s="41">
        <f t="shared" si="8"/>
        <v>45869</v>
      </c>
      <c r="U26" s="73">
        <f t="shared" si="17"/>
        <v>30</v>
      </c>
      <c r="V26" s="73">
        <f t="shared" si="13"/>
        <v>210</v>
      </c>
      <c r="W26" s="67">
        <f t="shared" si="18"/>
        <v>0</v>
      </c>
      <c r="X26" s="67">
        <f t="shared" si="14"/>
        <v>0</v>
      </c>
      <c r="Y26" s="67">
        <f t="shared" si="9"/>
        <v>0</v>
      </c>
      <c r="Z26" s="67">
        <f t="shared" si="15"/>
        <v>0</v>
      </c>
      <c r="AA26" s="67">
        <f t="shared" si="10"/>
        <v>0</v>
      </c>
      <c r="AB26" s="67">
        <f t="shared" si="11"/>
        <v>86450</v>
      </c>
      <c r="AC26" s="67">
        <f t="shared" si="12"/>
        <v>58246882.750000007</v>
      </c>
    </row>
    <row r="27" spans="1:29" x14ac:dyDescent="0.3">
      <c r="A27" s="68">
        <v>38595</v>
      </c>
      <c r="B27" s="69"/>
      <c r="C27" s="69"/>
      <c r="D27" s="69"/>
      <c r="E27" s="69"/>
      <c r="F27" s="70">
        <f t="shared" si="3"/>
        <v>0</v>
      </c>
      <c r="G27" s="71">
        <f t="shared" si="4"/>
        <v>0</v>
      </c>
      <c r="H27" s="71">
        <f t="shared" si="0"/>
        <v>0</v>
      </c>
      <c r="I27" s="69"/>
      <c r="J27" s="71">
        <f t="shared" si="1"/>
        <v>0</v>
      </c>
      <c r="K27" s="71">
        <f t="shared" si="2"/>
        <v>0</v>
      </c>
      <c r="L27" s="69"/>
      <c r="M27" s="69"/>
      <c r="N27" s="71">
        <f t="shared" si="5"/>
        <v>0</v>
      </c>
      <c r="O27" s="69"/>
      <c r="P27" s="70">
        <f t="shared" si="6"/>
        <v>0</v>
      </c>
      <c r="Q27" s="41">
        <f t="shared" si="16"/>
        <v>45870</v>
      </c>
      <c r="R27" s="41">
        <f>Q27+30</f>
        <v>45900</v>
      </c>
      <c r="S27" s="41">
        <f t="shared" si="7"/>
        <v>45870</v>
      </c>
      <c r="T27" s="41">
        <f t="shared" si="8"/>
        <v>45900</v>
      </c>
      <c r="U27" s="73">
        <f t="shared" si="17"/>
        <v>30</v>
      </c>
      <c r="V27" s="73">
        <f t="shared" si="13"/>
        <v>240</v>
      </c>
      <c r="W27" s="67">
        <f t="shared" si="18"/>
        <v>0</v>
      </c>
      <c r="X27" s="67">
        <f t="shared" si="14"/>
        <v>0</v>
      </c>
      <c r="Y27" s="67">
        <f t="shared" si="9"/>
        <v>0</v>
      </c>
      <c r="Z27" s="67">
        <f t="shared" si="15"/>
        <v>0</v>
      </c>
      <c r="AA27" s="67">
        <f t="shared" si="10"/>
        <v>0</v>
      </c>
      <c r="AB27" s="67">
        <f t="shared" si="11"/>
        <v>98800</v>
      </c>
      <c r="AC27" s="67">
        <f t="shared" si="12"/>
        <v>66567866.000000007</v>
      </c>
    </row>
    <row r="28" spans="1:29" x14ac:dyDescent="0.3">
      <c r="A28" s="68">
        <v>38625</v>
      </c>
      <c r="B28" s="69"/>
      <c r="C28" s="69"/>
      <c r="D28" s="69"/>
      <c r="E28" s="69"/>
      <c r="F28" s="70">
        <f t="shared" si="3"/>
        <v>0</v>
      </c>
      <c r="G28" s="71">
        <f t="shared" si="4"/>
        <v>0</v>
      </c>
      <c r="H28" s="71">
        <f t="shared" si="0"/>
        <v>0</v>
      </c>
      <c r="I28" s="69"/>
      <c r="J28" s="71">
        <f t="shared" si="1"/>
        <v>0</v>
      </c>
      <c r="K28" s="71">
        <f t="shared" si="2"/>
        <v>0</v>
      </c>
      <c r="L28" s="69"/>
      <c r="M28" s="69"/>
      <c r="N28" s="71">
        <f t="shared" si="5"/>
        <v>0</v>
      </c>
      <c r="O28" s="69"/>
      <c r="P28" s="70">
        <f t="shared" si="6"/>
        <v>0</v>
      </c>
      <c r="Q28" s="41">
        <f t="shared" si="16"/>
        <v>45901</v>
      </c>
      <c r="R28" s="41">
        <f>Q28+29</f>
        <v>45930</v>
      </c>
      <c r="S28" s="41">
        <f t="shared" si="7"/>
        <v>45901</v>
      </c>
      <c r="T28" s="41">
        <f t="shared" si="8"/>
        <v>45930</v>
      </c>
      <c r="U28" s="73">
        <f t="shared" si="17"/>
        <v>30</v>
      </c>
      <c r="V28" s="73">
        <f t="shared" si="13"/>
        <v>270</v>
      </c>
      <c r="W28" s="67">
        <f t="shared" si="18"/>
        <v>0</v>
      </c>
      <c r="X28" s="67">
        <f>IF(AA28&lt;(AB28),0,IF(AA28&gt;(AB28+AC28),AC28-Z27,AA28-Z27-AB28))</f>
        <v>0</v>
      </c>
      <c r="Y28" s="67">
        <f t="shared" si="9"/>
        <v>0</v>
      </c>
      <c r="Z28" s="67">
        <f t="shared" si="15"/>
        <v>0</v>
      </c>
      <c r="AA28" s="67">
        <f t="shared" si="10"/>
        <v>0</v>
      </c>
      <c r="AB28" s="67">
        <f t="shared" si="11"/>
        <v>111150</v>
      </c>
      <c r="AC28" s="67">
        <f t="shared" si="12"/>
        <v>74888849.25</v>
      </c>
    </row>
    <row r="29" spans="1:29" x14ac:dyDescent="0.3">
      <c r="A29" s="68">
        <v>38656</v>
      </c>
      <c r="B29" s="69"/>
      <c r="C29" s="69"/>
      <c r="D29" s="69"/>
      <c r="E29" s="69"/>
      <c r="F29" s="70">
        <f t="shared" si="3"/>
        <v>0</v>
      </c>
      <c r="G29" s="71">
        <f t="shared" si="4"/>
        <v>0</v>
      </c>
      <c r="H29" s="71">
        <f t="shared" si="0"/>
        <v>0</v>
      </c>
      <c r="I29" s="69"/>
      <c r="J29" s="71">
        <f t="shared" si="1"/>
        <v>0</v>
      </c>
      <c r="K29" s="71">
        <f t="shared" si="2"/>
        <v>0</v>
      </c>
      <c r="L29" s="69"/>
      <c r="M29" s="69"/>
      <c r="N29" s="71">
        <f t="shared" si="5"/>
        <v>0</v>
      </c>
      <c r="O29" s="69"/>
      <c r="P29" s="70">
        <f t="shared" si="6"/>
        <v>0</v>
      </c>
      <c r="Q29" s="41">
        <f t="shared" si="16"/>
        <v>45931</v>
      </c>
      <c r="R29" s="41">
        <f>Q29+30</f>
        <v>45961</v>
      </c>
      <c r="S29" s="41">
        <f t="shared" si="7"/>
        <v>45931</v>
      </c>
      <c r="T29" s="41">
        <f t="shared" si="8"/>
        <v>45961</v>
      </c>
      <c r="U29" s="73">
        <f t="shared" si="17"/>
        <v>30</v>
      </c>
      <c r="V29" s="73">
        <f t="shared" si="13"/>
        <v>300</v>
      </c>
      <c r="W29" s="67">
        <f t="shared" si="18"/>
        <v>0</v>
      </c>
      <c r="X29" s="67">
        <f t="shared" si="14"/>
        <v>0</v>
      </c>
      <c r="Y29" s="67">
        <f t="shared" si="9"/>
        <v>0</v>
      </c>
      <c r="Z29" s="67">
        <f t="shared" si="15"/>
        <v>0</v>
      </c>
      <c r="AA29" s="67">
        <f t="shared" si="10"/>
        <v>0</v>
      </c>
      <c r="AB29" s="67">
        <f t="shared" si="11"/>
        <v>123500</v>
      </c>
      <c r="AC29" s="67">
        <f t="shared" si="12"/>
        <v>83209832.5</v>
      </c>
    </row>
    <row r="30" spans="1:29" x14ac:dyDescent="0.3">
      <c r="A30" s="68">
        <v>38686</v>
      </c>
      <c r="B30" s="69"/>
      <c r="C30" s="69"/>
      <c r="D30" s="69"/>
      <c r="E30" s="69"/>
      <c r="F30" s="70">
        <f t="shared" si="3"/>
        <v>0</v>
      </c>
      <c r="G30" s="71">
        <f t="shared" si="4"/>
        <v>0</v>
      </c>
      <c r="H30" s="71">
        <f t="shared" si="0"/>
        <v>0</v>
      </c>
      <c r="I30" s="69"/>
      <c r="J30" s="71">
        <f t="shared" si="1"/>
        <v>0</v>
      </c>
      <c r="K30" s="71">
        <f t="shared" si="2"/>
        <v>0</v>
      </c>
      <c r="L30" s="69"/>
      <c r="M30" s="69"/>
      <c r="N30" s="71">
        <f t="shared" si="5"/>
        <v>0</v>
      </c>
      <c r="O30" s="69"/>
      <c r="P30" s="70">
        <f t="shared" si="6"/>
        <v>0</v>
      </c>
      <c r="Q30" s="41">
        <f t="shared" si="16"/>
        <v>45962</v>
      </c>
      <c r="R30" s="41">
        <f>Q30+29</f>
        <v>45991</v>
      </c>
      <c r="S30" s="41">
        <f t="shared" si="7"/>
        <v>45962</v>
      </c>
      <c r="T30" s="41">
        <f t="shared" si="8"/>
        <v>45991</v>
      </c>
      <c r="U30" s="73">
        <f t="shared" si="17"/>
        <v>30</v>
      </c>
      <c r="V30" s="73">
        <f t="shared" si="13"/>
        <v>330</v>
      </c>
      <c r="W30" s="67">
        <f t="shared" si="18"/>
        <v>0</v>
      </c>
      <c r="X30" s="67">
        <f t="shared" si="14"/>
        <v>0</v>
      </c>
      <c r="Y30" s="67">
        <f t="shared" si="9"/>
        <v>0</v>
      </c>
      <c r="Z30" s="67">
        <f t="shared" si="15"/>
        <v>0</v>
      </c>
      <c r="AA30" s="67">
        <f t="shared" si="10"/>
        <v>0</v>
      </c>
      <c r="AB30" s="67">
        <f t="shared" si="11"/>
        <v>135850</v>
      </c>
      <c r="AC30" s="67">
        <f t="shared" si="12"/>
        <v>91530815.750000015</v>
      </c>
    </row>
    <row r="31" spans="1:29" x14ac:dyDescent="0.3">
      <c r="A31" s="68">
        <v>38717</v>
      </c>
      <c r="B31" s="69"/>
      <c r="C31" s="69"/>
      <c r="D31" s="69"/>
      <c r="E31" s="69"/>
      <c r="F31" s="70">
        <f t="shared" si="3"/>
        <v>0</v>
      </c>
      <c r="G31" s="71">
        <f t="shared" si="4"/>
        <v>0</v>
      </c>
      <c r="H31" s="71">
        <f t="shared" si="0"/>
        <v>0</v>
      </c>
      <c r="I31" s="69"/>
      <c r="J31" s="71">
        <f t="shared" si="1"/>
        <v>0</v>
      </c>
      <c r="K31" s="71">
        <f t="shared" si="2"/>
        <v>0</v>
      </c>
      <c r="L31" s="69"/>
      <c r="M31" s="69"/>
      <c r="N31" s="71">
        <f>F31-G31-H31-J31-K31-L31-M31-I31</f>
        <v>0</v>
      </c>
      <c r="O31" s="69"/>
      <c r="P31" s="70">
        <f t="shared" si="6"/>
        <v>0</v>
      </c>
      <c r="Q31" s="41">
        <f t="shared" si="16"/>
        <v>45992</v>
      </c>
      <c r="R31" s="41">
        <f>Q31+30</f>
        <v>46022</v>
      </c>
      <c r="S31" s="41">
        <f t="shared" si="7"/>
        <v>45992</v>
      </c>
      <c r="T31" s="41">
        <f t="shared" si="8"/>
        <v>46022</v>
      </c>
      <c r="U31" s="73">
        <f t="shared" si="17"/>
        <v>30</v>
      </c>
      <c r="V31" s="73">
        <f t="shared" si="13"/>
        <v>360</v>
      </c>
      <c r="W31" s="67">
        <f t="shared" si="18"/>
        <v>0</v>
      </c>
      <c r="X31" s="67">
        <f t="shared" si="14"/>
        <v>0</v>
      </c>
      <c r="Y31" s="67">
        <f t="shared" si="9"/>
        <v>0</v>
      </c>
      <c r="Z31" s="67">
        <f t="shared" si="15"/>
        <v>0</v>
      </c>
      <c r="AA31" s="67">
        <f t="shared" si="10"/>
        <v>0</v>
      </c>
      <c r="AB31" s="67">
        <f t="shared" si="11"/>
        <v>148200</v>
      </c>
      <c r="AC31" s="67">
        <f t="shared" si="12"/>
        <v>99851799.000000015</v>
      </c>
    </row>
    <row r="32" spans="1:29" x14ac:dyDescent="0.3">
      <c r="A32" s="74" t="s">
        <v>20</v>
      </c>
      <c r="B32" s="69"/>
      <c r="C32" s="69"/>
      <c r="D32" s="69"/>
      <c r="E32" s="69"/>
      <c r="F32" s="70">
        <f t="shared" si="3"/>
        <v>0</v>
      </c>
      <c r="G32" s="71">
        <f t="shared" si="4"/>
        <v>0</v>
      </c>
      <c r="H32" s="71">
        <f t="shared" si="0"/>
        <v>0</v>
      </c>
      <c r="I32" s="69"/>
      <c r="J32" s="71">
        <f t="shared" si="1"/>
        <v>0</v>
      </c>
      <c r="K32" s="71">
        <f t="shared" si="2"/>
        <v>0</v>
      </c>
      <c r="L32" s="69"/>
      <c r="M32" s="69"/>
      <c r="N32" s="71">
        <f t="shared" si="5"/>
        <v>0</v>
      </c>
      <c r="O32" s="69"/>
      <c r="P32" s="70">
        <f t="shared" si="6"/>
        <v>0</v>
      </c>
      <c r="Q32" s="41"/>
      <c r="R32" s="41"/>
      <c r="U32" s="73">
        <f>IF(S32=0,0,DAYS360(S32,T32,1)+1)</f>
        <v>0</v>
      </c>
      <c r="V32" s="73">
        <f>V31+U32</f>
        <v>360</v>
      </c>
      <c r="W32" s="67">
        <f t="shared" si="18"/>
        <v>0</v>
      </c>
      <c r="X32" s="67">
        <f t="shared" si="14"/>
        <v>0</v>
      </c>
      <c r="Y32" s="67">
        <f t="shared" si="9"/>
        <v>0</v>
      </c>
      <c r="Z32" s="67">
        <f t="shared" si="15"/>
        <v>0</v>
      </c>
      <c r="AA32" s="67">
        <f t="shared" si="10"/>
        <v>0</v>
      </c>
      <c r="AB32" s="67">
        <f>ALVMAX/360*V32</f>
        <v>148200</v>
      </c>
      <c r="AC32" s="67">
        <f t="shared" si="12"/>
        <v>99851799.000000015</v>
      </c>
    </row>
    <row r="33" spans="1:29" x14ac:dyDescent="0.3">
      <c r="A33" s="75" t="s">
        <v>21</v>
      </c>
      <c r="B33" s="69"/>
      <c r="C33" s="69"/>
      <c r="D33" s="69"/>
      <c r="E33" s="69"/>
      <c r="F33" s="70">
        <f t="shared" si="3"/>
        <v>0</v>
      </c>
      <c r="G33" s="71">
        <f t="shared" si="4"/>
        <v>0</v>
      </c>
      <c r="H33" s="71">
        <f t="shared" si="0"/>
        <v>0</v>
      </c>
      <c r="I33" s="69"/>
      <c r="J33" s="71">
        <f t="shared" si="1"/>
        <v>0</v>
      </c>
      <c r="K33" s="71">
        <f t="shared" si="2"/>
        <v>0</v>
      </c>
      <c r="L33" s="69"/>
      <c r="M33" s="69"/>
      <c r="N33" s="71">
        <f>F33-G33-H33-J33-K33-L33-M33-I33</f>
        <v>0</v>
      </c>
      <c r="O33" s="69"/>
      <c r="P33" s="70">
        <f t="shared" si="6"/>
        <v>0</v>
      </c>
      <c r="Q33" s="41"/>
      <c r="R33" s="41"/>
      <c r="U33" s="73">
        <f>IF(S33=0,0,DAYS360(S33,T33,1)+1)</f>
        <v>0</v>
      </c>
      <c r="V33" s="73">
        <f>V32+U33</f>
        <v>360</v>
      </c>
      <c r="W33" s="67">
        <f t="shared" si="18"/>
        <v>0</v>
      </c>
      <c r="X33" s="67">
        <f t="shared" si="14"/>
        <v>0</v>
      </c>
      <c r="Y33" s="67">
        <f t="shared" si="9"/>
        <v>0</v>
      </c>
      <c r="Z33" s="67">
        <f t="shared" si="15"/>
        <v>0</v>
      </c>
      <c r="AA33" s="67">
        <f t="shared" si="10"/>
        <v>0</v>
      </c>
      <c r="AB33" s="67">
        <f>ALVMAX/360*V33</f>
        <v>148200</v>
      </c>
      <c r="AC33" s="67">
        <f t="shared" si="12"/>
        <v>99851799.000000015</v>
      </c>
    </row>
    <row r="34" spans="1:29" s="16" customFormat="1" x14ac:dyDescent="0.3">
      <c r="A34" s="63"/>
      <c r="B34" s="63"/>
      <c r="C34" s="63"/>
      <c r="D34" s="63"/>
      <c r="E34" s="63"/>
      <c r="F34" s="63"/>
      <c r="G34" s="66"/>
      <c r="H34" s="66"/>
      <c r="I34" s="63"/>
      <c r="J34" s="66"/>
      <c r="K34" s="66"/>
      <c r="L34" s="66"/>
      <c r="M34" s="66"/>
      <c r="N34" s="63"/>
      <c r="O34" s="63"/>
      <c r="P34" s="63"/>
      <c r="U34" s="76"/>
      <c r="V34" s="76"/>
      <c r="W34" s="76"/>
      <c r="X34" s="76"/>
      <c r="Y34" s="76"/>
      <c r="Z34" s="67"/>
    </row>
    <row r="35" spans="1:29" s="26" customFormat="1" ht="17.25" thickBot="1" x14ac:dyDescent="0.35">
      <c r="A35" s="77" t="s">
        <v>0</v>
      </c>
      <c r="B35" s="78">
        <f>SUM(B20:B33)</f>
        <v>0</v>
      </c>
      <c r="C35" s="78">
        <f t="shared" ref="C35:P35" si="19">SUM(C20:C33)</f>
        <v>0</v>
      </c>
      <c r="D35" s="78">
        <f t="shared" si="19"/>
        <v>0</v>
      </c>
      <c r="E35" s="78">
        <f t="shared" si="19"/>
        <v>0</v>
      </c>
      <c r="F35" s="78">
        <f t="shared" si="19"/>
        <v>0</v>
      </c>
      <c r="G35" s="78">
        <f t="shared" si="19"/>
        <v>0</v>
      </c>
      <c r="H35" s="78">
        <f t="shared" si="19"/>
        <v>0</v>
      </c>
      <c r="I35" s="78">
        <f t="shared" si="19"/>
        <v>0</v>
      </c>
      <c r="J35" s="78">
        <f t="shared" si="19"/>
        <v>0</v>
      </c>
      <c r="K35" s="78">
        <f t="shared" si="19"/>
        <v>0</v>
      </c>
      <c r="L35" s="78">
        <f t="shared" si="19"/>
        <v>0</v>
      </c>
      <c r="M35" s="78">
        <f t="shared" si="19"/>
        <v>0</v>
      </c>
      <c r="N35" s="78">
        <f t="shared" si="19"/>
        <v>0</v>
      </c>
      <c r="O35" s="78">
        <f t="shared" si="19"/>
        <v>0</v>
      </c>
      <c r="P35" s="78">
        <f t="shared" si="19"/>
        <v>0</v>
      </c>
      <c r="Q35" s="79"/>
      <c r="U35" s="80">
        <f>SUM(U20:U34)</f>
        <v>360</v>
      </c>
      <c r="V35" s="80"/>
      <c r="W35" s="67">
        <f>SUM(W20:W31)</f>
        <v>0</v>
      </c>
      <c r="X35" s="67">
        <f>SUM(X20:X31)</f>
        <v>0</v>
      </c>
      <c r="Y35" s="80"/>
      <c r="Z35" s="80"/>
    </row>
    <row r="36" spans="1:29" s="81" customFormat="1" ht="15.75" customHeight="1" thickTop="1" x14ac:dyDescent="0.15">
      <c r="B36" s="82"/>
      <c r="C36" s="82"/>
      <c r="D36" s="82"/>
      <c r="E36" s="82"/>
      <c r="F36" s="98" t="str">
        <f>IF(H36="","","Total AHV+ALV:")</f>
        <v/>
      </c>
      <c r="G36" s="98"/>
      <c r="H36" s="139" t="str">
        <f>IF(G35=0,"",G35+H35)</f>
        <v/>
      </c>
      <c r="I36" s="98" t="str">
        <f>IF(H36="","","Total AHV+ALV+NBU:")</f>
        <v/>
      </c>
      <c r="J36" s="98"/>
      <c r="K36" s="98"/>
      <c r="L36" s="139" t="str">
        <f>IF(G35=0,"",H36+J35)</f>
        <v/>
      </c>
      <c r="M36" s="82"/>
      <c r="N36" s="82"/>
      <c r="O36" s="82"/>
      <c r="P36" s="82"/>
      <c r="Q36" s="82"/>
      <c r="R36" s="82"/>
      <c r="V36" s="83"/>
      <c r="W36" s="83"/>
      <c r="X36" s="83"/>
      <c r="Y36" s="83"/>
      <c r="Z36" s="83"/>
      <c r="AA36" s="83"/>
    </row>
    <row r="37" spans="1:29" x14ac:dyDescent="0.3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29" x14ac:dyDescent="0.3">
      <c r="A38" s="26" t="s">
        <v>35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1:29" x14ac:dyDescent="0.3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28"/>
      <c r="R39" s="27"/>
      <c r="S39" s="41">
        <f>R31+1</f>
        <v>46023</v>
      </c>
    </row>
    <row r="40" spans="1:29" x14ac:dyDescent="0.3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28"/>
      <c r="R40" s="27"/>
    </row>
    <row r="41" spans="1:29" x14ac:dyDescent="0.3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28"/>
      <c r="R41" s="27"/>
    </row>
    <row r="42" spans="1:29" x14ac:dyDescent="0.3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28"/>
      <c r="R42" s="27"/>
    </row>
    <row r="43" spans="1:29" x14ac:dyDescent="0.3">
      <c r="A43" s="113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28"/>
      <c r="R43" s="27"/>
    </row>
    <row r="44" spans="1:29" x14ac:dyDescent="0.3">
      <c r="A44" s="113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28"/>
    </row>
    <row r="45" spans="1:29" x14ac:dyDescent="0.3">
      <c r="A45" s="113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28"/>
    </row>
    <row r="46" spans="1:29" x14ac:dyDescent="0.3">
      <c r="A46" s="113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28"/>
    </row>
    <row r="47" spans="1:29" x14ac:dyDescent="0.3">
      <c r="A47" s="113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28"/>
    </row>
    <row r="48" spans="1:29" x14ac:dyDescent="0.3">
      <c r="Q48" s="28"/>
    </row>
    <row r="50" spans="1:18" x14ac:dyDescent="0.3">
      <c r="A50" s="26"/>
      <c r="Q50" s="30"/>
    </row>
    <row r="51" spans="1:18" x14ac:dyDescent="0.3">
      <c r="A51" s="29"/>
      <c r="H51" s="84"/>
      <c r="Q51" s="30"/>
    </row>
    <row r="52" spans="1:18" x14ac:dyDescent="0.3">
      <c r="A52" s="31"/>
      <c r="Q52" s="85"/>
    </row>
    <row r="54" spans="1:18" x14ac:dyDescent="0.3">
      <c r="A54" s="26" t="s">
        <v>36</v>
      </c>
      <c r="Q54" s="27"/>
    </row>
    <row r="55" spans="1:18" x14ac:dyDescent="0.3">
      <c r="A55" s="113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28"/>
      <c r="R55" s="28"/>
    </row>
    <row r="56" spans="1:18" s="1" customFormat="1" x14ac:dyDescent="0.3">
      <c r="A56" s="113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28"/>
      <c r="R56" s="28"/>
    </row>
    <row r="57" spans="1:18" s="1" customFormat="1" x14ac:dyDescent="0.3">
      <c r="A57" s="113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28"/>
      <c r="R57" s="28"/>
    </row>
    <row r="58" spans="1:18" x14ac:dyDescent="0.3">
      <c r="A58" s="113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28"/>
      <c r="R58" s="28"/>
    </row>
    <row r="59" spans="1:18" s="1" customFormat="1" x14ac:dyDescent="0.3">
      <c r="A59" s="113"/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28"/>
      <c r="R59" s="28"/>
    </row>
    <row r="60" spans="1:18" s="1" customFormat="1" x14ac:dyDescent="0.3">
      <c r="A60" s="113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28"/>
      <c r="R60" s="28"/>
    </row>
    <row r="61" spans="1:18" x14ac:dyDescent="0.3">
      <c r="A61" s="113"/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28"/>
      <c r="R61" s="28"/>
    </row>
    <row r="62" spans="1:18" s="1" customFormat="1" x14ac:dyDescent="0.3">
      <c r="A62" s="113"/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28"/>
      <c r="R62" s="28"/>
    </row>
    <row r="63" spans="1:18" s="1" customFormat="1" x14ac:dyDescent="0.3">
      <c r="A63" s="113"/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28"/>
      <c r="R63" s="28"/>
    </row>
    <row r="64" spans="1:18" x14ac:dyDescent="0.3">
      <c r="A64" s="113"/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28"/>
      <c r="R64" s="28"/>
    </row>
    <row r="65" spans="1:18" s="1" customFormat="1" x14ac:dyDescent="0.3">
      <c r="A65" s="113"/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28"/>
      <c r="R65" s="28"/>
    </row>
    <row r="66" spans="1:18" s="1" customFormat="1" x14ac:dyDescent="0.3">
      <c r="A66" s="113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28"/>
      <c r="R66" s="28"/>
    </row>
    <row r="67" spans="1:18" s="1" customFormat="1" x14ac:dyDescent="0.3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</row>
    <row r="68" spans="1:18" s="1" customFormat="1" x14ac:dyDescent="0.3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x14ac:dyDescent="0.3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</row>
    <row r="70" spans="1:18" x14ac:dyDescent="0.3">
      <c r="Q70" s="28"/>
      <c r="R70" s="28"/>
    </row>
  </sheetData>
  <sheetProtection algorithmName="SHA-512" hashValue="9Y6fwwno5IIZ1GG0dhJyX/MxGvovxJHfCRu+Q4Qv4oLmVR2qud1spVnfzUKVbHOc+1N+Nujwky8jprWTdWcYxw==" saltValue="lKd7DxQUTgWPYSJ2c4JKOg==" spinCount="100000" sheet="1" objects="1" scenarios="1"/>
  <mergeCells count="52">
    <mergeCell ref="A44:P44"/>
    <mergeCell ref="G16:G17"/>
    <mergeCell ref="A16:A18"/>
    <mergeCell ref="D15:G15"/>
    <mergeCell ref="A39:P39"/>
    <mergeCell ref="A40:P40"/>
    <mergeCell ref="A41:P41"/>
    <mergeCell ref="A42:P42"/>
    <mergeCell ref="A43:P43"/>
    <mergeCell ref="B16:B18"/>
    <mergeCell ref="L16:L17"/>
    <mergeCell ref="H16:H17"/>
    <mergeCell ref="J16:J17"/>
    <mergeCell ref="K16:K17"/>
    <mergeCell ref="I36:K36"/>
    <mergeCell ref="F36:G36"/>
    <mergeCell ref="A62:P62"/>
    <mergeCell ref="A63:P63"/>
    <mergeCell ref="A64:P64"/>
    <mergeCell ref="A65:P65"/>
    <mergeCell ref="A66:P66"/>
    <mergeCell ref="H4:I4"/>
    <mergeCell ref="H5:I5"/>
    <mergeCell ref="C9:D9"/>
    <mergeCell ref="C12:D12"/>
    <mergeCell ref="C4:E4"/>
    <mergeCell ref="C5:E5"/>
    <mergeCell ref="C6:E6"/>
    <mergeCell ref="C7:E7"/>
    <mergeCell ref="I16:I18"/>
    <mergeCell ref="E16:E18"/>
    <mergeCell ref="C10:D10"/>
    <mergeCell ref="F16:F18"/>
    <mergeCell ref="D16:D18"/>
    <mergeCell ref="C16:C18"/>
    <mergeCell ref="H10:L10"/>
    <mergeCell ref="Q17:R17"/>
    <mergeCell ref="S17:T17"/>
    <mergeCell ref="P16:P18"/>
    <mergeCell ref="M16:M17"/>
    <mergeCell ref="N16:N18"/>
    <mergeCell ref="O16:O18"/>
    <mergeCell ref="A45:P45"/>
    <mergeCell ref="A46:P46"/>
    <mergeCell ref="A47:P47"/>
    <mergeCell ref="A55:P55"/>
    <mergeCell ref="A56:P56"/>
    <mergeCell ref="A57:P57"/>
    <mergeCell ref="A58:P58"/>
    <mergeCell ref="A59:P59"/>
    <mergeCell ref="A60:P60"/>
    <mergeCell ref="A61:P61"/>
  </mergeCells>
  <phoneticPr fontId="0" type="noConversion"/>
  <dataValidations count="1">
    <dataValidation type="textLength" operator="equal" allowBlank="1" showInputMessage="1" showErrorMessage="1" errorTitle="Bitte korrigieren:" error="m = männlich_x000a_w = weiblich" sqref="I7" xr:uid="{00000000-0002-0000-0100-000000000000}">
      <formula1>1</formula1>
    </dataValidation>
  </dataValidations>
  <printOptions horizontalCentered="1"/>
  <pageMargins left="1.0629921259842521" right="0.78740157480314965" top="0.59055118110236227" bottom="0.59055118110236227" header="0.51181102362204722" footer="0.31496062992125984"/>
  <pageSetup paperSize="9" scale="63" orientation="landscape" r:id="rId1"/>
  <headerFooter>
    <oddFooter>&amp;L&amp;G&amp;C&amp;"Segoe UI Semilight,Standard"&amp;K1D71B8Bern | Biel/Bienne&amp;R&amp;"Segoe UI Semilight,Standard"&amp;K1D71B8strasser-ag.ch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AD70"/>
  <sheetViews>
    <sheetView showGridLines="0" zoomScale="90" zoomScaleNormal="90" workbookViewId="0">
      <selection activeCell="B20" sqref="B20"/>
    </sheetView>
  </sheetViews>
  <sheetFormatPr baseColWidth="10" defaultColWidth="11.28515625" defaultRowHeight="16.5" x14ac:dyDescent="0.3"/>
  <cols>
    <col min="1" max="1" width="16" style="25" customWidth="1"/>
    <col min="2" max="15" width="12.140625" style="25" customWidth="1"/>
    <col min="16" max="16" width="11.85546875" style="25" bestFit="1" customWidth="1"/>
    <col min="17" max="17" width="10.7109375" style="25" hidden="1" customWidth="1"/>
    <col min="18" max="18" width="11" style="25" hidden="1" customWidth="1"/>
    <col min="19" max="19" width="10.7109375" style="25" hidden="1" customWidth="1"/>
    <col min="20" max="20" width="11" style="25" hidden="1" customWidth="1"/>
    <col min="21" max="21" width="14.85546875" style="25" hidden="1" customWidth="1"/>
    <col min="22" max="22" width="14.28515625" style="25" hidden="1" customWidth="1"/>
    <col min="23" max="23" width="7.85546875" style="25" hidden="1" customWidth="1"/>
    <col min="24" max="24" width="9.85546875" style="25" hidden="1" customWidth="1"/>
    <col min="25" max="25" width="12.7109375" style="25" hidden="1" customWidth="1"/>
    <col min="26" max="26" width="14" style="25" hidden="1" customWidth="1"/>
    <col min="27" max="27" width="17.5703125" style="25" hidden="1" customWidth="1"/>
    <col min="28" max="28" width="11.5703125" style="25" hidden="1" customWidth="1"/>
    <col min="29" max="30" width="14.28515625" style="25" hidden="1" customWidth="1"/>
    <col min="31" max="31" width="11.28515625" style="25" customWidth="1"/>
    <col min="32" max="16384" width="11.28515625" style="25"/>
  </cols>
  <sheetData>
    <row r="1" spans="1:18" s="34" customFormat="1" ht="20.25" x14ac:dyDescent="0.35">
      <c r="A1" s="32" t="s">
        <v>42</v>
      </c>
      <c r="B1" s="33">
        <f>Jahr</f>
        <v>2025</v>
      </c>
      <c r="P1" s="35">
        <f>Firma</f>
        <v>0</v>
      </c>
    </row>
    <row r="2" spans="1:18" s="34" customFormat="1" ht="20.25" x14ac:dyDescent="0.35">
      <c r="E2" s="36"/>
      <c r="P2" s="35">
        <f>Ort</f>
        <v>0</v>
      </c>
    </row>
    <row r="3" spans="1:18" s="34" customFormat="1" x14ac:dyDescent="0.3">
      <c r="Q3" s="37"/>
    </row>
    <row r="4" spans="1:18" s="34" customFormat="1" x14ac:dyDescent="0.3">
      <c r="A4" s="38" t="s">
        <v>2</v>
      </c>
      <c r="C4" s="134"/>
      <c r="D4" s="134"/>
      <c r="E4" s="134"/>
      <c r="G4" s="39" t="s">
        <v>3</v>
      </c>
      <c r="H4" s="132"/>
      <c r="I4" s="132"/>
      <c r="J4" s="40" t="str">
        <f>IF(H4&gt;R31,"Achtung, ungültiges Datum"," ")</f>
        <v xml:space="preserve"> </v>
      </c>
      <c r="R4" s="41">
        <f>IF(H4&gt;Q20,H4,Q20)</f>
        <v>45658</v>
      </c>
    </row>
    <row r="5" spans="1:18" s="34" customFormat="1" x14ac:dyDescent="0.3">
      <c r="A5" s="38" t="s">
        <v>4</v>
      </c>
      <c r="C5" s="133"/>
      <c r="D5" s="133"/>
      <c r="E5" s="133"/>
      <c r="G5" s="39" t="s">
        <v>5</v>
      </c>
      <c r="H5" s="132"/>
      <c r="I5" s="132"/>
      <c r="J5" s="40" t="str">
        <f>IF(H5=0," ",IF(H5&lt;Q20,"Achtung, ungültiges Datum"," "))</f>
        <v xml:space="preserve"> </v>
      </c>
      <c r="R5" s="41">
        <f>IF(H5=0,R31,IF(H5&gt;R31,R31,H5))</f>
        <v>46022</v>
      </c>
    </row>
    <row r="6" spans="1:18" s="34" customFormat="1" ht="17.649999999999999" customHeight="1" x14ac:dyDescent="0.3">
      <c r="A6" s="38" t="s">
        <v>6</v>
      </c>
      <c r="C6" s="133"/>
      <c r="D6" s="133"/>
      <c r="E6" s="133"/>
      <c r="H6" s="42" t="str">
        <f>IF(H5&lt;H4,IF(H5="","","Achtung: Fehler Eintritt / Austritt"),"")</f>
        <v/>
      </c>
      <c r="I6" s="43"/>
    </row>
    <row r="7" spans="1:18" s="34" customFormat="1" ht="17.649999999999999" customHeight="1" x14ac:dyDescent="0.3">
      <c r="A7" s="38" t="s">
        <v>33</v>
      </c>
      <c r="C7" s="133"/>
      <c r="D7" s="133"/>
      <c r="E7" s="133"/>
      <c r="G7" s="39" t="s">
        <v>7</v>
      </c>
      <c r="I7" s="44"/>
      <c r="J7" s="45" t="str">
        <f>IF(E13=1,IF(I7="M","Achtung: Mitarbeiter wird pensioniert per:",IF(E13=1,"Achtung: Mitarbeiterin wird pensioniert per:","")),"")</f>
        <v/>
      </c>
      <c r="N7" s="46" t="str">
        <f>IF(E13=1,C14," ")</f>
        <v xml:space="preserve"> </v>
      </c>
      <c r="O7" s="46"/>
    </row>
    <row r="8" spans="1:18" s="34" customFormat="1" x14ac:dyDescent="0.3">
      <c r="A8" s="38"/>
      <c r="C8" s="42" t="str">
        <f>IF((B35+C35)&lt;&gt;0,IF(C4="","Achtung: Name, Vorname und Adresse eingeben!",""),"")</f>
        <v/>
      </c>
      <c r="D8" s="37"/>
      <c r="E8" s="37"/>
      <c r="I8" s="42" t="str">
        <f>IF((B35+C35)&lt;&gt;0,IF(I7="","Achtung: 'm' für männlich, 'w' für weiblich eingeben!",""),"")</f>
        <v/>
      </c>
      <c r="K8" s="43"/>
    </row>
    <row r="9" spans="1:18" s="34" customFormat="1" x14ac:dyDescent="0.3">
      <c r="A9" s="38" t="s">
        <v>54</v>
      </c>
      <c r="C9" s="135"/>
      <c r="D9" s="135"/>
      <c r="E9" s="47"/>
      <c r="F9" s="48" t="str">
        <f ca="1">IF(D13&gt;=1,"Referenzalter erreicht ab","")</f>
        <v/>
      </c>
      <c r="G9" s="49" t="str">
        <f ca="1">IF(D13=1,C14, " ")</f>
        <v xml:space="preserve"> </v>
      </c>
      <c r="H9" s="50" t="str">
        <f ca="1">IF(F9&gt;" ","AHV-Freibetrag von Fr. 1'400.-- pro Monat berücksichtigen! Kein ALV-Abzug mehr; Korrektur unter Spalte M oder N","")</f>
        <v/>
      </c>
      <c r="I9" s="1"/>
      <c r="J9" s="1"/>
      <c r="K9" s="1"/>
      <c r="L9" s="1"/>
      <c r="M9" s="1"/>
      <c r="N9" s="1"/>
      <c r="O9" s="1"/>
      <c r="P9" s="1"/>
      <c r="Q9" s="1"/>
    </row>
    <row r="10" spans="1:18" s="34" customFormat="1" x14ac:dyDescent="0.3">
      <c r="A10" s="38" t="s">
        <v>55</v>
      </c>
      <c r="C10" s="135"/>
      <c r="D10" s="135"/>
      <c r="E10" s="37"/>
      <c r="F10" s="45"/>
      <c r="G10" s="51"/>
      <c r="H10" s="137" t="str">
        <f ca="1">IF(H9&gt;" ","Mitarbeitende können neu freiwillig auf den AHV-Freibetrag verzichten","")</f>
        <v/>
      </c>
      <c r="I10" s="137"/>
      <c r="J10" s="137"/>
      <c r="K10" s="137"/>
      <c r="L10" s="137"/>
    </row>
    <row r="11" spans="1:18" s="34" customFormat="1" x14ac:dyDescent="0.3">
      <c r="A11" s="38"/>
      <c r="C11" s="52"/>
      <c r="D11" s="52"/>
      <c r="E11" s="45"/>
      <c r="F11" s="53" t="str">
        <f>IF(F13&lt;18,IF(C13&gt;0,"Achtung:",""),"")</f>
        <v/>
      </c>
      <c r="G11" s="51" t="str">
        <f>IF(F11&gt;" ","Angestellte Person ist unter 18 Jahre!","")</f>
        <v/>
      </c>
      <c r="P11" s="54"/>
    </row>
    <row r="12" spans="1:18" s="34" customFormat="1" x14ac:dyDescent="0.3">
      <c r="A12" s="38" t="s">
        <v>8</v>
      </c>
      <c r="C12" s="136"/>
      <c r="D12" s="136"/>
      <c r="E12" s="45"/>
      <c r="G12" s="51" t="str">
        <f>IF(F11&gt;" ","Lohn unter 'nicht AHV-pflichtig' eintragen und ALV manuell auf 0% stellen!","")</f>
        <v/>
      </c>
    </row>
    <row r="13" spans="1:18" s="34" customFormat="1" hidden="1" x14ac:dyDescent="0.3">
      <c r="A13" s="56" t="s">
        <v>62</v>
      </c>
      <c r="B13" s="57"/>
      <c r="C13" s="58" t="b">
        <f>IF($C$12&gt;0,IF(I7="W",EDATE($C$12,(12*64.33)),IF(I7="M",EDATE($C$12,65*12))))</f>
        <v>0</v>
      </c>
      <c r="D13" s="59">
        <f ca="1">IF(C14&gt;TODAY(),0,1)</f>
        <v>0</v>
      </c>
      <c r="E13" s="60">
        <f>IF(C14-($Q$20-1)&lt;365.25,IF(C14-($Q$20-1)&gt;0,1,0),0)</f>
        <v>0</v>
      </c>
      <c r="F13" s="34">
        <f>(R31-C12)/365.25</f>
        <v>126.00136892539356</v>
      </c>
    </row>
    <row r="14" spans="1:18" s="34" customFormat="1" hidden="1" x14ac:dyDescent="0.3">
      <c r="A14" s="56" t="s">
        <v>63</v>
      </c>
      <c r="B14" s="57"/>
      <c r="C14" s="61">
        <f>IFERROR(IF(I7="W",IF(C12&gt;22281,EOMONTH(C13,1),EOMONTH(C13,-2)),EOMONTH(C13,1)),DATE(2900,1,1))</f>
        <v>365245</v>
      </c>
      <c r="E14" s="60"/>
    </row>
    <row r="15" spans="1:18" s="34" customFormat="1" x14ac:dyDescent="0.3">
      <c r="A15" s="37"/>
      <c r="D15" s="130" t="s">
        <v>41</v>
      </c>
      <c r="E15" s="130"/>
      <c r="F15" s="130"/>
      <c r="G15" s="131"/>
      <c r="H15" s="62"/>
      <c r="I15" s="63"/>
      <c r="J15" s="62"/>
      <c r="K15" s="62"/>
    </row>
    <row r="16" spans="1:18" s="16" customFormat="1" ht="12.75" customHeight="1" x14ac:dyDescent="0.25">
      <c r="A16" s="117" t="s">
        <v>9</v>
      </c>
      <c r="B16" s="117" t="str">
        <f>Zusammenstellung!C21</f>
        <v>AHV-Lohn</v>
      </c>
      <c r="C16" s="117" t="str">
        <f>Zusammenstellung!D21</f>
        <v>nicht AHV-pflichtig</v>
      </c>
      <c r="D16" s="117" t="str">
        <f>Zusammenstellung!E21</f>
        <v>Unfall- und
Kranken-
taggeld</v>
      </c>
      <c r="E16" s="117" t="str">
        <f>Zusammenstellung!F21</f>
        <v>Kinder-
zulagen</v>
      </c>
      <c r="F16" s="117" t="str">
        <f>Zusammenstellung!G21</f>
        <v>Total Bruttolohn</v>
      </c>
      <c r="G16" s="128" t="str">
        <f>Zusammenstellung!H21</f>
        <v>AHV</v>
      </c>
      <c r="H16" s="128" t="str">
        <f>Zusammenstellung!I21</f>
        <v>ALV</v>
      </c>
      <c r="I16" s="117" t="str">
        <f>Zusammenstellung!J21</f>
        <v>BVG</v>
      </c>
      <c r="J16" s="128" t="str">
        <f>Zusammenstellung!K21</f>
        <v>NBU</v>
      </c>
      <c r="K16" s="128" t="str">
        <f>Zusammenstellung!L21</f>
        <v>KTG</v>
      </c>
      <c r="L16" s="120"/>
      <c r="M16" s="120"/>
      <c r="N16" s="117" t="str">
        <f>Zusammenstellung!O21</f>
        <v>Nettolohn</v>
      </c>
      <c r="O16" s="117" t="str">
        <f>Zusammenstellung!P21</f>
        <v xml:space="preserve">Spesen </v>
      </c>
      <c r="P16" s="117" t="str">
        <f>Zusammenstellung!Q21</f>
        <v>Auszahlung</v>
      </c>
    </row>
    <row r="17" spans="1:29" s="16" customFormat="1" ht="14.25" x14ac:dyDescent="0.25">
      <c r="A17" s="118"/>
      <c r="B17" s="118"/>
      <c r="C17" s="118"/>
      <c r="D17" s="118"/>
      <c r="E17" s="118"/>
      <c r="F17" s="118"/>
      <c r="G17" s="129"/>
      <c r="H17" s="129"/>
      <c r="I17" s="118"/>
      <c r="J17" s="129"/>
      <c r="K17" s="129"/>
      <c r="L17" s="121"/>
      <c r="M17" s="121"/>
      <c r="N17" s="118"/>
      <c r="O17" s="118"/>
      <c r="P17" s="118"/>
      <c r="Q17" s="115" t="s">
        <v>9</v>
      </c>
      <c r="R17" s="116"/>
      <c r="S17" s="116" t="s">
        <v>45</v>
      </c>
      <c r="T17" s="116"/>
      <c r="U17" s="16" t="s">
        <v>46</v>
      </c>
      <c r="V17" s="16" t="s">
        <v>47</v>
      </c>
      <c r="W17" s="16" t="s">
        <v>50</v>
      </c>
      <c r="X17" s="16" t="s">
        <v>60</v>
      </c>
      <c r="Y17" s="16" t="s">
        <v>51</v>
      </c>
      <c r="Z17" s="16" t="s">
        <v>61</v>
      </c>
      <c r="AA17" s="16" t="s">
        <v>49</v>
      </c>
      <c r="AB17" s="16" t="s">
        <v>48</v>
      </c>
      <c r="AC17" s="16" t="s">
        <v>59</v>
      </c>
    </row>
    <row r="18" spans="1:29" s="16" customFormat="1" ht="14.25" x14ac:dyDescent="0.2">
      <c r="A18" s="119"/>
      <c r="B18" s="119"/>
      <c r="C18" s="119"/>
      <c r="D18" s="119"/>
      <c r="E18" s="119"/>
      <c r="F18" s="119"/>
      <c r="G18" s="64">
        <f>AHV</f>
        <v>5.2999999999999999E-2</v>
      </c>
      <c r="H18" s="64">
        <f>IF(H15="",ALV,H15)</f>
        <v>1.0999999999999999E-2</v>
      </c>
      <c r="I18" s="119"/>
      <c r="J18" s="64">
        <f>IF(J15="",NBU,J15)</f>
        <v>1.4E-2</v>
      </c>
      <c r="K18" s="64">
        <f>IF(K15="",IF(I7="w",KTGW,KTG),K15)</f>
        <v>0.01</v>
      </c>
      <c r="L18" s="17"/>
      <c r="M18" s="17"/>
      <c r="N18" s="119"/>
      <c r="O18" s="119"/>
      <c r="P18" s="119"/>
      <c r="Q18" s="65" t="s">
        <v>43</v>
      </c>
      <c r="R18" s="65" t="s">
        <v>44</v>
      </c>
      <c r="S18" s="65" t="s">
        <v>43</v>
      </c>
      <c r="T18" s="65" t="s">
        <v>44</v>
      </c>
    </row>
    <row r="19" spans="1:29" s="16" customFormat="1" x14ac:dyDescent="0.3">
      <c r="A19" s="63"/>
      <c r="B19" s="63"/>
      <c r="C19" s="63"/>
      <c r="D19" s="63"/>
      <c r="E19" s="63"/>
      <c r="F19" s="63"/>
      <c r="G19" s="66"/>
      <c r="H19" s="66"/>
      <c r="I19" s="63"/>
      <c r="J19" s="66"/>
      <c r="K19" s="66"/>
      <c r="L19" s="66"/>
      <c r="M19" s="66"/>
      <c r="N19" s="63"/>
      <c r="O19" s="63"/>
      <c r="P19" s="63"/>
      <c r="Z19" s="67"/>
    </row>
    <row r="20" spans="1:29" x14ac:dyDescent="0.3">
      <c r="A20" s="68">
        <v>38383</v>
      </c>
      <c r="B20" s="69"/>
      <c r="C20" s="69"/>
      <c r="D20" s="69"/>
      <c r="E20" s="69"/>
      <c r="F20" s="70">
        <f>SUM(B20:E20)</f>
        <v>0</v>
      </c>
      <c r="G20" s="71">
        <f>ROUND($B20*G$18/5,2)*5</f>
        <v>0</v>
      </c>
      <c r="H20" s="71">
        <f t="shared" ref="H20:H33" si="0">ROUND(W20*$H$18/5,2)*5</f>
        <v>0</v>
      </c>
      <c r="I20" s="69"/>
      <c r="J20" s="71">
        <f t="shared" ref="J20:J33" si="1">ROUND(W20*$J$18/5,2)*5</f>
        <v>0</v>
      </c>
      <c r="K20" s="71">
        <f t="shared" ref="K20:K33" si="2">ROUND(($B20+$C20)*K$18/5,2)*5</f>
        <v>0</v>
      </c>
      <c r="L20" s="69"/>
      <c r="M20" s="69"/>
      <c r="N20" s="71">
        <f>F20-G20-H20-J20-K20-L20-M20-I20</f>
        <v>0</v>
      </c>
      <c r="O20" s="69"/>
      <c r="P20" s="70">
        <f>N20+O20</f>
        <v>0</v>
      </c>
      <c r="Q20" s="72">
        <v>45658</v>
      </c>
      <c r="R20" s="41">
        <f>Q20+30</f>
        <v>45688</v>
      </c>
      <c r="S20" s="41">
        <f>IF($R$4&gt;R20,0,IF($R$4&gt;Q20,$R$4,Q20))</f>
        <v>45658</v>
      </c>
      <c r="T20" s="41">
        <f>IF(S20=0,0,IF($R$5&gt;R20,R20,IF(S20&gt;$R$5,(S20)-1,$R$5)))</f>
        <v>45688</v>
      </c>
      <c r="U20" s="73">
        <f>IF(S20=0,0,DAYS360(S20,T20,1)+1)</f>
        <v>30</v>
      </c>
      <c r="V20" s="73">
        <f>U20</f>
        <v>30</v>
      </c>
      <c r="W20" s="67">
        <f>IF(AA20&gt;AB20,AB20-Y19,AA20-Y19)</f>
        <v>0</v>
      </c>
      <c r="X20" s="67">
        <f>IF(AA20&lt;(AB20),0,IF(AA20&gt;(AB20+AC20),AC20-Z19,AA20-Z19-AB20))</f>
        <v>0</v>
      </c>
      <c r="Y20" s="67">
        <f>W20</f>
        <v>0</v>
      </c>
      <c r="Z20" s="67">
        <f>X20</f>
        <v>0</v>
      </c>
      <c r="AA20" s="67">
        <f>B20+C20</f>
        <v>0</v>
      </c>
      <c r="AB20" s="67">
        <f>ALVMAX/360*V20</f>
        <v>12350</v>
      </c>
      <c r="AC20" s="67">
        <f>(ALVMAX2/360*V20)-AB20</f>
        <v>8320983.2500000009</v>
      </c>
    </row>
    <row r="21" spans="1:29" x14ac:dyDescent="0.3">
      <c r="A21" s="68">
        <v>38411</v>
      </c>
      <c r="B21" s="69"/>
      <c r="C21" s="69"/>
      <c r="D21" s="69"/>
      <c r="E21" s="69"/>
      <c r="F21" s="70">
        <f t="shared" ref="F21:F33" si="3">SUM(B21:E21)</f>
        <v>0</v>
      </c>
      <c r="G21" s="71">
        <f t="shared" ref="G21:G33" si="4">ROUND(B21*$G$18/5,2)*5</f>
        <v>0</v>
      </c>
      <c r="H21" s="71">
        <f t="shared" si="0"/>
        <v>0</v>
      </c>
      <c r="I21" s="69"/>
      <c r="J21" s="71">
        <f t="shared" si="1"/>
        <v>0</v>
      </c>
      <c r="K21" s="71">
        <f t="shared" si="2"/>
        <v>0</v>
      </c>
      <c r="L21" s="69"/>
      <c r="M21" s="69"/>
      <c r="N21" s="71">
        <f t="shared" ref="N21:N33" si="5">F21-G21-H21-J21-K21-L21-M21-I21</f>
        <v>0</v>
      </c>
      <c r="O21" s="69"/>
      <c r="P21" s="70">
        <f t="shared" ref="P21:P33" si="6">N21+O21</f>
        <v>0</v>
      </c>
      <c r="Q21" s="41">
        <f>R20+1</f>
        <v>45689</v>
      </c>
      <c r="R21" s="72">
        <v>45716</v>
      </c>
      <c r="S21" s="41">
        <f t="shared" ref="S21:S31" si="7">IF($R$4&gt;R21,0,IF($R$4&gt;Q21,$R$4,Q21))</f>
        <v>45689</v>
      </c>
      <c r="T21" s="41">
        <f t="shared" ref="T21:T31" si="8">IF(S21=0,0,IF($R$5&gt;R21,R21,IF(S21&gt;$R$5,(S21)-1,$R$5)))</f>
        <v>45716</v>
      </c>
      <c r="U21" s="73">
        <f>IF(S21=0,0,IF(R21=T21,DAYS360(S21,T21,1)+3,DAYS360(S21,T21,1)+1))</f>
        <v>30</v>
      </c>
      <c r="V21" s="73">
        <f>V20+U21</f>
        <v>60</v>
      </c>
      <c r="W21" s="67">
        <f>IF(AA21&gt;AB21,AB21-Y20,AA21-Y20)</f>
        <v>0</v>
      </c>
      <c r="X21" s="67">
        <f>IF(AA21&lt;(AB21),0,IF(AA21&gt;(AB21+AC21),AC21-Z20,AA21-Z20-AB21))</f>
        <v>0</v>
      </c>
      <c r="Y21" s="67">
        <f t="shared" ref="Y21:Y33" si="9">Y20+W21</f>
        <v>0</v>
      </c>
      <c r="Z21" s="67">
        <f>X21+Z20</f>
        <v>0</v>
      </c>
      <c r="AA21" s="67">
        <f t="shared" ref="AA21:AA33" si="10">AA20+B21+C21</f>
        <v>0</v>
      </c>
      <c r="AB21" s="67">
        <f t="shared" ref="AB21:AB31" si="11">ALVMAX/360*V21</f>
        <v>24700</v>
      </c>
      <c r="AC21" s="67">
        <f t="shared" ref="AC21:AC33" si="12">(ALVMAX2/360*V21)-AB21</f>
        <v>16641966.500000002</v>
      </c>
    </row>
    <row r="22" spans="1:29" x14ac:dyDescent="0.3">
      <c r="A22" s="68">
        <v>38442</v>
      </c>
      <c r="B22" s="69"/>
      <c r="C22" s="69"/>
      <c r="D22" s="69"/>
      <c r="E22" s="69"/>
      <c r="F22" s="70">
        <f t="shared" si="3"/>
        <v>0</v>
      </c>
      <c r="G22" s="71">
        <f t="shared" si="4"/>
        <v>0</v>
      </c>
      <c r="H22" s="71">
        <f t="shared" si="0"/>
        <v>0</v>
      </c>
      <c r="I22" s="69"/>
      <c r="J22" s="71">
        <f t="shared" si="1"/>
        <v>0</v>
      </c>
      <c r="K22" s="71">
        <f t="shared" si="2"/>
        <v>0</v>
      </c>
      <c r="L22" s="69"/>
      <c r="M22" s="69"/>
      <c r="N22" s="71">
        <f t="shared" si="5"/>
        <v>0</v>
      </c>
      <c r="O22" s="69"/>
      <c r="P22" s="70">
        <f t="shared" si="6"/>
        <v>0</v>
      </c>
      <c r="Q22" s="41">
        <f>R21+1</f>
        <v>45717</v>
      </c>
      <c r="R22" s="41">
        <f>Q22+30</f>
        <v>45747</v>
      </c>
      <c r="S22" s="41">
        <f t="shared" si="7"/>
        <v>45717</v>
      </c>
      <c r="T22" s="41">
        <f t="shared" si="8"/>
        <v>45747</v>
      </c>
      <c r="U22" s="73">
        <f>IF(S22=0,0,IF(T22=R21,DAYS360(S22,T22,1)+3,DAYS360(S22,T22,1)+1))</f>
        <v>30</v>
      </c>
      <c r="V22" s="73">
        <f t="shared" ref="V22:V31" si="13">V21+U22</f>
        <v>90</v>
      </c>
      <c r="W22" s="67">
        <f>IF(AA22&gt;AB22,AB22-Y21,AA22-Y21)</f>
        <v>0</v>
      </c>
      <c r="X22" s="67">
        <f t="shared" ref="X22:X33" si="14">IF(AA22&lt;(AB22),0,IF(AA22&gt;(AB22+AC22),AC22-Z21,AA22-Z21-AB22))</f>
        <v>0</v>
      </c>
      <c r="Y22" s="67">
        <f t="shared" si="9"/>
        <v>0</v>
      </c>
      <c r="Z22" s="67">
        <f t="shared" ref="Z22:Z33" si="15">X22+Z21</f>
        <v>0</v>
      </c>
      <c r="AA22" s="67">
        <f t="shared" si="10"/>
        <v>0</v>
      </c>
      <c r="AB22" s="67">
        <f t="shared" si="11"/>
        <v>37050</v>
      </c>
      <c r="AC22" s="67">
        <f t="shared" si="12"/>
        <v>24962949.750000004</v>
      </c>
    </row>
    <row r="23" spans="1:29" x14ac:dyDescent="0.3">
      <c r="A23" s="68">
        <v>38472</v>
      </c>
      <c r="B23" s="69"/>
      <c r="C23" s="69"/>
      <c r="D23" s="69"/>
      <c r="E23" s="69"/>
      <c r="F23" s="70">
        <f t="shared" si="3"/>
        <v>0</v>
      </c>
      <c r="G23" s="71">
        <f t="shared" si="4"/>
        <v>0</v>
      </c>
      <c r="H23" s="71">
        <f t="shared" si="0"/>
        <v>0</v>
      </c>
      <c r="I23" s="69"/>
      <c r="J23" s="71">
        <f t="shared" si="1"/>
        <v>0</v>
      </c>
      <c r="K23" s="71">
        <f t="shared" si="2"/>
        <v>0</v>
      </c>
      <c r="L23" s="69"/>
      <c r="M23" s="69"/>
      <c r="N23" s="71">
        <f t="shared" si="5"/>
        <v>0</v>
      </c>
      <c r="O23" s="69"/>
      <c r="P23" s="70">
        <f t="shared" si="6"/>
        <v>0</v>
      </c>
      <c r="Q23" s="41">
        <f t="shared" ref="Q23:Q31" si="16">R22+1</f>
        <v>45748</v>
      </c>
      <c r="R23" s="41">
        <f>Q23+29</f>
        <v>45777</v>
      </c>
      <c r="S23" s="41">
        <f t="shared" si="7"/>
        <v>45748</v>
      </c>
      <c r="T23" s="41">
        <f t="shared" si="8"/>
        <v>45777</v>
      </c>
      <c r="U23" s="73">
        <f t="shared" ref="U23:U31" si="17">IF(S23=0,0,DAYS360(S23,T23,1)+1)</f>
        <v>30</v>
      </c>
      <c r="V23" s="73">
        <f t="shared" si="13"/>
        <v>120</v>
      </c>
      <c r="W23" s="67">
        <f t="shared" ref="W23:W33" si="18">IF(AA23&gt;AB23,AB23-Y22,AA23-Y22)</f>
        <v>0</v>
      </c>
      <c r="X23" s="67">
        <f t="shared" si="14"/>
        <v>0</v>
      </c>
      <c r="Y23" s="67">
        <f t="shared" si="9"/>
        <v>0</v>
      </c>
      <c r="Z23" s="67">
        <f t="shared" si="15"/>
        <v>0</v>
      </c>
      <c r="AA23" s="67">
        <f t="shared" si="10"/>
        <v>0</v>
      </c>
      <c r="AB23" s="67">
        <f t="shared" si="11"/>
        <v>49400</v>
      </c>
      <c r="AC23" s="67">
        <f t="shared" si="12"/>
        <v>33283933.000000004</v>
      </c>
    </row>
    <row r="24" spans="1:29" x14ac:dyDescent="0.3">
      <c r="A24" s="68">
        <v>38503</v>
      </c>
      <c r="B24" s="69"/>
      <c r="C24" s="69"/>
      <c r="D24" s="69"/>
      <c r="E24" s="69"/>
      <c r="F24" s="70">
        <f t="shared" si="3"/>
        <v>0</v>
      </c>
      <c r="G24" s="71">
        <f t="shared" si="4"/>
        <v>0</v>
      </c>
      <c r="H24" s="71">
        <f t="shared" si="0"/>
        <v>0</v>
      </c>
      <c r="I24" s="69"/>
      <c r="J24" s="71">
        <f t="shared" si="1"/>
        <v>0</v>
      </c>
      <c r="K24" s="71">
        <f t="shared" si="2"/>
        <v>0</v>
      </c>
      <c r="L24" s="69"/>
      <c r="M24" s="69"/>
      <c r="N24" s="71">
        <f t="shared" si="5"/>
        <v>0</v>
      </c>
      <c r="O24" s="69"/>
      <c r="P24" s="70">
        <f t="shared" si="6"/>
        <v>0</v>
      </c>
      <c r="Q24" s="41">
        <f t="shared" si="16"/>
        <v>45778</v>
      </c>
      <c r="R24" s="41">
        <f>Q24+30</f>
        <v>45808</v>
      </c>
      <c r="S24" s="41">
        <f t="shared" si="7"/>
        <v>45778</v>
      </c>
      <c r="T24" s="41">
        <f t="shared" si="8"/>
        <v>45808</v>
      </c>
      <c r="U24" s="73">
        <f t="shared" si="17"/>
        <v>30</v>
      </c>
      <c r="V24" s="73">
        <f t="shared" si="13"/>
        <v>150</v>
      </c>
      <c r="W24" s="67">
        <f t="shared" si="18"/>
        <v>0</v>
      </c>
      <c r="X24" s="67">
        <f t="shared" si="14"/>
        <v>0</v>
      </c>
      <c r="Y24" s="67">
        <f t="shared" si="9"/>
        <v>0</v>
      </c>
      <c r="Z24" s="67">
        <f t="shared" si="15"/>
        <v>0</v>
      </c>
      <c r="AA24" s="67">
        <f t="shared" si="10"/>
        <v>0</v>
      </c>
      <c r="AB24" s="67">
        <f t="shared" si="11"/>
        <v>61750</v>
      </c>
      <c r="AC24" s="67">
        <f t="shared" si="12"/>
        <v>41604916.25</v>
      </c>
    </row>
    <row r="25" spans="1:29" x14ac:dyDescent="0.3">
      <c r="A25" s="68">
        <v>38533</v>
      </c>
      <c r="B25" s="69"/>
      <c r="C25" s="69"/>
      <c r="D25" s="69"/>
      <c r="E25" s="69"/>
      <c r="F25" s="70">
        <f t="shared" si="3"/>
        <v>0</v>
      </c>
      <c r="G25" s="71">
        <f t="shared" si="4"/>
        <v>0</v>
      </c>
      <c r="H25" s="71">
        <f t="shared" si="0"/>
        <v>0</v>
      </c>
      <c r="I25" s="69"/>
      <c r="J25" s="71">
        <f t="shared" si="1"/>
        <v>0</v>
      </c>
      <c r="K25" s="71">
        <f t="shared" si="2"/>
        <v>0</v>
      </c>
      <c r="L25" s="69"/>
      <c r="M25" s="69"/>
      <c r="N25" s="71">
        <f t="shared" si="5"/>
        <v>0</v>
      </c>
      <c r="O25" s="69"/>
      <c r="P25" s="70">
        <f t="shared" si="6"/>
        <v>0</v>
      </c>
      <c r="Q25" s="41">
        <f t="shared" si="16"/>
        <v>45809</v>
      </c>
      <c r="R25" s="41">
        <f>Q25+29</f>
        <v>45838</v>
      </c>
      <c r="S25" s="41">
        <f t="shared" si="7"/>
        <v>45809</v>
      </c>
      <c r="T25" s="41">
        <f t="shared" si="8"/>
        <v>45838</v>
      </c>
      <c r="U25" s="73">
        <f t="shared" si="17"/>
        <v>30</v>
      </c>
      <c r="V25" s="73">
        <f t="shared" si="13"/>
        <v>180</v>
      </c>
      <c r="W25" s="67">
        <f t="shared" si="18"/>
        <v>0</v>
      </c>
      <c r="X25" s="67">
        <f t="shared" si="14"/>
        <v>0</v>
      </c>
      <c r="Y25" s="67">
        <f t="shared" si="9"/>
        <v>0</v>
      </c>
      <c r="Z25" s="67">
        <f t="shared" si="15"/>
        <v>0</v>
      </c>
      <c r="AA25" s="67">
        <f t="shared" si="10"/>
        <v>0</v>
      </c>
      <c r="AB25" s="67">
        <f t="shared" si="11"/>
        <v>74100</v>
      </c>
      <c r="AC25" s="67">
        <f t="shared" si="12"/>
        <v>49925899.500000007</v>
      </c>
    </row>
    <row r="26" spans="1:29" x14ac:dyDescent="0.3">
      <c r="A26" s="68">
        <v>38564</v>
      </c>
      <c r="B26" s="69"/>
      <c r="C26" s="69"/>
      <c r="D26" s="69"/>
      <c r="E26" s="69"/>
      <c r="F26" s="70">
        <f t="shared" si="3"/>
        <v>0</v>
      </c>
      <c r="G26" s="71">
        <f t="shared" si="4"/>
        <v>0</v>
      </c>
      <c r="H26" s="71">
        <f t="shared" si="0"/>
        <v>0</v>
      </c>
      <c r="I26" s="69"/>
      <c r="J26" s="71">
        <f t="shared" si="1"/>
        <v>0</v>
      </c>
      <c r="K26" s="71">
        <f t="shared" si="2"/>
        <v>0</v>
      </c>
      <c r="L26" s="69"/>
      <c r="M26" s="69"/>
      <c r="N26" s="71">
        <f t="shared" si="5"/>
        <v>0</v>
      </c>
      <c r="O26" s="69"/>
      <c r="P26" s="70">
        <f t="shared" si="6"/>
        <v>0</v>
      </c>
      <c r="Q26" s="41">
        <f t="shared" si="16"/>
        <v>45839</v>
      </c>
      <c r="R26" s="41">
        <f>Q26+30</f>
        <v>45869</v>
      </c>
      <c r="S26" s="41">
        <f t="shared" si="7"/>
        <v>45839</v>
      </c>
      <c r="T26" s="41">
        <f t="shared" si="8"/>
        <v>45869</v>
      </c>
      <c r="U26" s="73">
        <f t="shared" si="17"/>
        <v>30</v>
      </c>
      <c r="V26" s="73">
        <f t="shared" si="13"/>
        <v>210</v>
      </c>
      <c r="W26" s="67">
        <f t="shared" si="18"/>
        <v>0</v>
      </c>
      <c r="X26" s="67">
        <f t="shared" si="14"/>
        <v>0</v>
      </c>
      <c r="Y26" s="67">
        <f t="shared" si="9"/>
        <v>0</v>
      </c>
      <c r="Z26" s="67">
        <f t="shared" si="15"/>
        <v>0</v>
      </c>
      <c r="AA26" s="67">
        <f t="shared" si="10"/>
        <v>0</v>
      </c>
      <c r="AB26" s="67">
        <f t="shared" si="11"/>
        <v>86450</v>
      </c>
      <c r="AC26" s="67">
        <f t="shared" si="12"/>
        <v>58246882.750000007</v>
      </c>
    </row>
    <row r="27" spans="1:29" x14ac:dyDescent="0.3">
      <c r="A27" s="68">
        <v>38595</v>
      </c>
      <c r="B27" s="69"/>
      <c r="C27" s="69"/>
      <c r="D27" s="69"/>
      <c r="E27" s="69"/>
      <c r="F27" s="70">
        <f t="shared" si="3"/>
        <v>0</v>
      </c>
      <c r="G27" s="71">
        <f t="shared" si="4"/>
        <v>0</v>
      </c>
      <c r="H27" s="71">
        <f t="shared" si="0"/>
        <v>0</v>
      </c>
      <c r="I27" s="69"/>
      <c r="J27" s="71">
        <f t="shared" si="1"/>
        <v>0</v>
      </c>
      <c r="K27" s="71">
        <f t="shared" si="2"/>
        <v>0</v>
      </c>
      <c r="L27" s="69"/>
      <c r="M27" s="69"/>
      <c r="N27" s="71">
        <f t="shared" si="5"/>
        <v>0</v>
      </c>
      <c r="O27" s="69"/>
      <c r="P27" s="70">
        <f t="shared" si="6"/>
        <v>0</v>
      </c>
      <c r="Q27" s="41">
        <f t="shared" si="16"/>
        <v>45870</v>
      </c>
      <c r="R27" s="41">
        <f>Q27+30</f>
        <v>45900</v>
      </c>
      <c r="S27" s="41">
        <f t="shared" si="7"/>
        <v>45870</v>
      </c>
      <c r="T27" s="41">
        <f t="shared" si="8"/>
        <v>45900</v>
      </c>
      <c r="U27" s="73">
        <f t="shared" si="17"/>
        <v>30</v>
      </c>
      <c r="V27" s="73">
        <f t="shared" si="13"/>
        <v>240</v>
      </c>
      <c r="W27" s="67">
        <f t="shared" si="18"/>
        <v>0</v>
      </c>
      <c r="X27" s="67">
        <f t="shared" si="14"/>
        <v>0</v>
      </c>
      <c r="Y27" s="67">
        <f t="shared" si="9"/>
        <v>0</v>
      </c>
      <c r="Z27" s="67">
        <f t="shared" si="15"/>
        <v>0</v>
      </c>
      <c r="AA27" s="67">
        <f t="shared" si="10"/>
        <v>0</v>
      </c>
      <c r="AB27" s="67">
        <f t="shared" si="11"/>
        <v>98800</v>
      </c>
      <c r="AC27" s="67">
        <f t="shared" si="12"/>
        <v>66567866.000000007</v>
      </c>
    </row>
    <row r="28" spans="1:29" x14ac:dyDescent="0.3">
      <c r="A28" s="68">
        <v>38625</v>
      </c>
      <c r="B28" s="69"/>
      <c r="C28" s="69"/>
      <c r="D28" s="69"/>
      <c r="E28" s="69"/>
      <c r="F28" s="70">
        <f t="shared" si="3"/>
        <v>0</v>
      </c>
      <c r="G28" s="71">
        <f t="shared" si="4"/>
        <v>0</v>
      </c>
      <c r="H28" s="71">
        <f t="shared" si="0"/>
        <v>0</v>
      </c>
      <c r="I28" s="69"/>
      <c r="J28" s="71">
        <f t="shared" si="1"/>
        <v>0</v>
      </c>
      <c r="K28" s="71">
        <f t="shared" si="2"/>
        <v>0</v>
      </c>
      <c r="L28" s="69"/>
      <c r="M28" s="69"/>
      <c r="N28" s="71">
        <f t="shared" si="5"/>
        <v>0</v>
      </c>
      <c r="O28" s="69"/>
      <c r="P28" s="70">
        <f t="shared" si="6"/>
        <v>0</v>
      </c>
      <c r="Q28" s="41">
        <f t="shared" si="16"/>
        <v>45901</v>
      </c>
      <c r="R28" s="41">
        <f>Q28+29</f>
        <v>45930</v>
      </c>
      <c r="S28" s="41">
        <f t="shared" si="7"/>
        <v>45901</v>
      </c>
      <c r="T28" s="41">
        <f t="shared" si="8"/>
        <v>45930</v>
      </c>
      <c r="U28" s="73">
        <f t="shared" si="17"/>
        <v>30</v>
      </c>
      <c r="V28" s="73">
        <f t="shared" si="13"/>
        <v>270</v>
      </c>
      <c r="W28" s="67">
        <f t="shared" si="18"/>
        <v>0</v>
      </c>
      <c r="X28" s="67">
        <f t="shared" si="14"/>
        <v>0</v>
      </c>
      <c r="Y28" s="67">
        <f t="shared" si="9"/>
        <v>0</v>
      </c>
      <c r="Z28" s="67">
        <f t="shared" si="15"/>
        <v>0</v>
      </c>
      <c r="AA28" s="67">
        <f t="shared" si="10"/>
        <v>0</v>
      </c>
      <c r="AB28" s="67">
        <f t="shared" si="11"/>
        <v>111150</v>
      </c>
      <c r="AC28" s="67">
        <f t="shared" si="12"/>
        <v>74888849.25</v>
      </c>
    </row>
    <row r="29" spans="1:29" x14ac:dyDescent="0.3">
      <c r="A29" s="68">
        <v>38656</v>
      </c>
      <c r="B29" s="69"/>
      <c r="C29" s="69"/>
      <c r="D29" s="69"/>
      <c r="E29" s="69"/>
      <c r="F29" s="70">
        <f t="shared" si="3"/>
        <v>0</v>
      </c>
      <c r="G29" s="71">
        <f t="shared" si="4"/>
        <v>0</v>
      </c>
      <c r="H29" s="71">
        <f t="shared" si="0"/>
        <v>0</v>
      </c>
      <c r="I29" s="69"/>
      <c r="J29" s="71">
        <f t="shared" si="1"/>
        <v>0</v>
      </c>
      <c r="K29" s="71">
        <f t="shared" si="2"/>
        <v>0</v>
      </c>
      <c r="L29" s="69"/>
      <c r="M29" s="69"/>
      <c r="N29" s="71">
        <f t="shared" si="5"/>
        <v>0</v>
      </c>
      <c r="O29" s="69"/>
      <c r="P29" s="70">
        <f t="shared" si="6"/>
        <v>0</v>
      </c>
      <c r="Q29" s="41">
        <f t="shared" si="16"/>
        <v>45931</v>
      </c>
      <c r="R29" s="41">
        <f>Q29+30</f>
        <v>45961</v>
      </c>
      <c r="S29" s="41">
        <f t="shared" si="7"/>
        <v>45931</v>
      </c>
      <c r="T29" s="41">
        <f t="shared" si="8"/>
        <v>45961</v>
      </c>
      <c r="U29" s="73">
        <f t="shared" si="17"/>
        <v>30</v>
      </c>
      <c r="V29" s="73">
        <f t="shared" si="13"/>
        <v>300</v>
      </c>
      <c r="W29" s="67">
        <f t="shared" si="18"/>
        <v>0</v>
      </c>
      <c r="X29" s="67">
        <f t="shared" si="14"/>
        <v>0</v>
      </c>
      <c r="Y29" s="67">
        <f t="shared" si="9"/>
        <v>0</v>
      </c>
      <c r="Z29" s="67">
        <f t="shared" si="15"/>
        <v>0</v>
      </c>
      <c r="AA29" s="67">
        <f t="shared" si="10"/>
        <v>0</v>
      </c>
      <c r="AB29" s="67">
        <f t="shared" si="11"/>
        <v>123500</v>
      </c>
      <c r="AC29" s="67">
        <f t="shared" si="12"/>
        <v>83209832.5</v>
      </c>
    </row>
    <row r="30" spans="1:29" x14ac:dyDescent="0.3">
      <c r="A30" s="68">
        <v>38686</v>
      </c>
      <c r="B30" s="69"/>
      <c r="C30" s="69"/>
      <c r="D30" s="69"/>
      <c r="E30" s="69"/>
      <c r="F30" s="70">
        <f t="shared" si="3"/>
        <v>0</v>
      </c>
      <c r="G30" s="71">
        <f t="shared" si="4"/>
        <v>0</v>
      </c>
      <c r="H30" s="71">
        <f t="shared" si="0"/>
        <v>0</v>
      </c>
      <c r="I30" s="69"/>
      <c r="J30" s="71">
        <f t="shared" si="1"/>
        <v>0</v>
      </c>
      <c r="K30" s="71">
        <f t="shared" si="2"/>
        <v>0</v>
      </c>
      <c r="L30" s="69"/>
      <c r="M30" s="69"/>
      <c r="N30" s="71">
        <f t="shared" si="5"/>
        <v>0</v>
      </c>
      <c r="O30" s="69"/>
      <c r="P30" s="70">
        <f t="shared" si="6"/>
        <v>0</v>
      </c>
      <c r="Q30" s="41">
        <f t="shared" si="16"/>
        <v>45962</v>
      </c>
      <c r="R30" s="41">
        <f>Q30+29</f>
        <v>45991</v>
      </c>
      <c r="S30" s="41">
        <f t="shared" si="7"/>
        <v>45962</v>
      </c>
      <c r="T30" s="41">
        <f t="shared" si="8"/>
        <v>45991</v>
      </c>
      <c r="U30" s="73">
        <f t="shared" si="17"/>
        <v>30</v>
      </c>
      <c r="V30" s="73">
        <f t="shared" si="13"/>
        <v>330</v>
      </c>
      <c r="W30" s="67">
        <f t="shared" si="18"/>
        <v>0</v>
      </c>
      <c r="X30" s="67">
        <f t="shared" si="14"/>
        <v>0</v>
      </c>
      <c r="Y30" s="67">
        <f t="shared" si="9"/>
        <v>0</v>
      </c>
      <c r="Z30" s="67">
        <f t="shared" si="15"/>
        <v>0</v>
      </c>
      <c r="AA30" s="67">
        <f t="shared" si="10"/>
        <v>0</v>
      </c>
      <c r="AB30" s="67">
        <f t="shared" si="11"/>
        <v>135850</v>
      </c>
      <c r="AC30" s="67">
        <f t="shared" si="12"/>
        <v>91530815.750000015</v>
      </c>
    </row>
    <row r="31" spans="1:29" x14ac:dyDescent="0.3">
      <c r="A31" s="68">
        <v>38717</v>
      </c>
      <c r="B31" s="69"/>
      <c r="C31" s="69"/>
      <c r="D31" s="69"/>
      <c r="E31" s="69"/>
      <c r="F31" s="70">
        <f t="shared" si="3"/>
        <v>0</v>
      </c>
      <c r="G31" s="71">
        <f t="shared" si="4"/>
        <v>0</v>
      </c>
      <c r="H31" s="71">
        <f t="shared" si="0"/>
        <v>0</v>
      </c>
      <c r="I31" s="69"/>
      <c r="J31" s="71">
        <f t="shared" si="1"/>
        <v>0</v>
      </c>
      <c r="K31" s="71">
        <f t="shared" si="2"/>
        <v>0</v>
      </c>
      <c r="L31" s="69"/>
      <c r="M31" s="69"/>
      <c r="N31" s="71">
        <f t="shared" si="5"/>
        <v>0</v>
      </c>
      <c r="O31" s="69"/>
      <c r="P31" s="70">
        <f t="shared" si="6"/>
        <v>0</v>
      </c>
      <c r="Q31" s="41">
        <f t="shared" si="16"/>
        <v>45992</v>
      </c>
      <c r="R31" s="41">
        <f>Q31+30</f>
        <v>46022</v>
      </c>
      <c r="S31" s="41">
        <f t="shared" si="7"/>
        <v>45992</v>
      </c>
      <c r="T31" s="41">
        <f t="shared" si="8"/>
        <v>46022</v>
      </c>
      <c r="U31" s="73">
        <f t="shared" si="17"/>
        <v>30</v>
      </c>
      <c r="V31" s="73">
        <f t="shared" si="13"/>
        <v>360</v>
      </c>
      <c r="W31" s="67">
        <f t="shared" si="18"/>
        <v>0</v>
      </c>
      <c r="X31" s="67">
        <f t="shared" si="14"/>
        <v>0</v>
      </c>
      <c r="Y31" s="67">
        <f t="shared" si="9"/>
        <v>0</v>
      </c>
      <c r="Z31" s="67">
        <f t="shared" si="15"/>
        <v>0</v>
      </c>
      <c r="AA31" s="67">
        <f t="shared" si="10"/>
        <v>0</v>
      </c>
      <c r="AB31" s="67">
        <f t="shared" si="11"/>
        <v>148200</v>
      </c>
      <c r="AC31" s="67">
        <f t="shared" si="12"/>
        <v>99851799.000000015</v>
      </c>
    </row>
    <row r="32" spans="1:29" x14ac:dyDescent="0.3">
      <c r="A32" s="74" t="s">
        <v>20</v>
      </c>
      <c r="B32" s="69"/>
      <c r="C32" s="69"/>
      <c r="D32" s="69"/>
      <c r="E32" s="69"/>
      <c r="F32" s="70">
        <f t="shared" si="3"/>
        <v>0</v>
      </c>
      <c r="G32" s="71">
        <f t="shared" si="4"/>
        <v>0</v>
      </c>
      <c r="H32" s="71">
        <f t="shared" si="0"/>
        <v>0</v>
      </c>
      <c r="I32" s="69"/>
      <c r="J32" s="71">
        <f t="shared" si="1"/>
        <v>0</v>
      </c>
      <c r="K32" s="71">
        <f t="shared" si="2"/>
        <v>0</v>
      </c>
      <c r="L32" s="69"/>
      <c r="M32" s="69"/>
      <c r="N32" s="71">
        <f t="shared" si="5"/>
        <v>0</v>
      </c>
      <c r="O32" s="69"/>
      <c r="P32" s="70">
        <f t="shared" si="6"/>
        <v>0</v>
      </c>
      <c r="Q32" s="41"/>
      <c r="R32" s="41"/>
      <c r="U32" s="73">
        <f>IF(S32=0,0,DAYS360(S32,T32,1)+1)</f>
        <v>0</v>
      </c>
      <c r="V32" s="73">
        <f>V31+U32</f>
        <v>360</v>
      </c>
      <c r="W32" s="67">
        <f t="shared" si="18"/>
        <v>0</v>
      </c>
      <c r="X32" s="67">
        <f t="shared" si="14"/>
        <v>0</v>
      </c>
      <c r="Y32" s="67">
        <f t="shared" si="9"/>
        <v>0</v>
      </c>
      <c r="Z32" s="67">
        <f t="shared" si="15"/>
        <v>0</v>
      </c>
      <c r="AA32" s="67">
        <f t="shared" si="10"/>
        <v>0</v>
      </c>
      <c r="AB32" s="67">
        <f>ALVMAX/360*V32</f>
        <v>148200</v>
      </c>
      <c r="AC32" s="67">
        <f t="shared" si="12"/>
        <v>99851799.000000015</v>
      </c>
    </row>
    <row r="33" spans="1:29" x14ac:dyDescent="0.3">
      <c r="A33" s="75" t="s">
        <v>21</v>
      </c>
      <c r="B33" s="69"/>
      <c r="C33" s="69"/>
      <c r="D33" s="69"/>
      <c r="E33" s="69"/>
      <c r="F33" s="70">
        <f t="shared" si="3"/>
        <v>0</v>
      </c>
      <c r="G33" s="71">
        <f t="shared" si="4"/>
        <v>0</v>
      </c>
      <c r="H33" s="71">
        <f t="shared" si="0"/>
        <v>0</v>
      </c>
      <c r="I33" s="69"/>
      <c r="J33" s="71">
        <f t="shared" si="1"/>
        <v>0</v>
      </c>
      <c r="K33" s="71">
        <f t="shared" si="2"/>
        <v>0</v>
      </c>
      <c r="L33" s="69"/>
      <c r="M33" s="69"/>
      <c r="N33" s="71">
        <f t="shared" si="5"/>
        <v>0</v>
      </c>
      <c r="O33" s="69"/>
      <c r="P33" s="70">
        <f t="shared" si="6"/>
        <v>0</v>
      </c>
      <c r="Q33" s="41"/>
      <c r="R33" s="41"/>
      <c r="U33" s="73">
        <f>IF(S33=0,0,DAYS360(S33,T33,1)+1)</f>
        <v>0</v>
      </c>
      <c r="V33" s="73">
        <f>V32+U33</f>
        <v>360</v>
      </c>
      <c r="W33" s="67">
        <f t="shared" si="18"/>
        <v>0</v>
      </c>
      <c r="X33" s="67">
        <f t="shared" si="14"/>
        <v>0</v>
      </c>
      <c r="Y33" s="67">
        <f t="shared" si="9"/>
        <v>0</v>
      </c>
      <c r="Z33" s="67">
        <f t="shared" si="15"/>
        <v>0</v>
      </c>
      <c r="AA33" s="67">
        <f t="shared" si="10"/>
        <v>0</v>
      </c>
      <c r="AB33" s="67">
        <f>ALVMAX/360*V33</f>
        <v>148200</v>
      </c>
      <c r="AC33" s="67">
        <f t="shared" si="12"/>
        <v>99851799.000000015</v>
      </c>
    </row>
    <row r="34" spans="1:29" s="16" customFormat="1" x14ac:dyDescent="0.3">
      <c r="A34" s="63"/>
      <c r="B34" s="63"/>
      <c r="C34" s="63"/>
      <c r="D34" s="63"/>
      <c r="E34" s="63"/>
      <c r="F34" s="63"/>
      <c r="G34" s="66"/>
      <c r="H34" s="66"/>
      <c r="I34" s="63"/>
      <c r="J34" s="66"/>
      <c r="K34" s="66"/>
      <c r="L34" s="66"/>
      <c r="M34" s="66"/>
      <c r="N34" s="63"/>
      <c r="O34" s="63"/>
      <c r="P34" s="63"/>
      <c r="U34" s="76"/>
      <c r="V34" s="76"/>
      <c r="W34" s="76"/>
      <c r="X34" s="76"/>
      <c r="Y34" s="76"/>
      <c r="Z34" s="67"/>
    </row>
    <row r="35" spans="1:29" s="26" customFormat="1" ht="17.25" thickBot="1" x14ac:dyDescent="0.35">
      <c r="A35" s="77" t="s">
        <v>0</v>
      </c>
      <c r="B35" s="78">
        <f>SUM(B20:B33)</f>
        <v>0</v>
      </c>
      <c r="C35" s="78">
        <f t="shared" ref="C35:P35" si="19">SUM(C20:C33)</f>
        <v>0</v>
      </c>
      <c r="D35" s="78">
        <f t="shared" si="19"/>
        <v>0</v>
      </c>
      <c r="E35" s="78">
        <f t="shared" si="19"/>
        <v>0</v>
      </c>
      <c r="F35" s="78">
        <f t="shared" si="19"/>
        <v>0</v>
      </c>
      <c r="G35" s="78">
        <f t="shared" si="19"/>
        <v>0</v>
      </c>
      <c r="H35" s="78">
        <f t="shared" si="19"/>
        <v>0</v>
      </c>
      <c r="I35" s="78">
        <f t="shared" si="19"/>
        <v>0</v>
      </c>
      <c r="J35" s="78">
        <f t="shared" si="19"/>
        <v>0</v>
      </c>
      <c r="K35" s="78">
        <f t="shared" si="19"/>
        <v>0</v>
      </c>
      <c r="L35" s="78">
        <f t="shared" si="19"/>
        <v>0</v>
      </c>
      <c r="M35" s="78">
        <f t="shared" si="19"/>
        <v>0</v>
      </c>
      <c r="N35" s="78">
        <f t="shared" si="19"/>
        <v>0</v>
      </c>
      <c r="O35" s="78">
        <f t="shared" si="19"/>
        <v>0</v>
      </c>
      <c r="P35" s="78">
        <f t="shared" si="19"/>
        <v>0</v>
      </c>
      <c r="Q35" s="79"/>
      <c r="U35" s="80">
        <f>SUM(U20:U34)</f>
        <v>360</v>
      </c>
      <c r="V35" s="80"/>
      <c r="W35" s="67">
        <f>SUM(W20:W31)</f>
        <v>0</v>
      </c>
      <c r="X35" s="67">
        <f>SUM(X20:X31)</f>
        <v>0</v>
      </c>
      <c r="Y35" s="80"/>
      <c r="Z35" s="80"/>
    </row>
    <row r="36" spans="1:29" s="81" customFormat="1" ht="15.75" customHeight="1" thickTop="1" x14ac:dyDescent="0.15">
      <c r="B36" s="82"/>
      <c r="C36" s="82"/>
      <c r="D36" s="82"/>
      <c r="E36" s="82"/>
      <c r="F36" s="98" t="str">
        <f>IF(H36="","","Total AHV+ALV:")</f>
        <v/>
      </c>
      <c r="G36" s="98"/>
      <c r="H36" s="139" t="str">
        <f>IF(G35=0,"",G35+H35)</f>
        <v/>
      </c>
      <c r="I36" s="98" t="str">
        <f>IF(H36="","","Total AHV+ALV+NBU:")</f>
        <v/>
      </c>
      <c r="J36" s="98"/>
      <c r="K36" s="98"/>
      <c r="L36" s="139" t="str">
        <f>IF(G35=0,"",H36+J35)</f>
        <v/>
      </c>
      <c r="M36" s="82"/>
      <c r="N36" s="82"/>
      <c r="O36" s="82"/>
      <c r="P36" s="82"/>
      <c r="Q36" s="82"/>
      <c r="R36" s="82"/>
      <c r="V36" s="83"/>
      <c r="W36" s="83"/>
      <c r="X36" s="83"/>
      <c r="Y36" s="83"/>
      <c r="Z36" s="83"/>
      <c r="AA36" s="83"/>
    </row>
    <row r="37" spans="1:29" x14ac:dyDescent="0.3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29" x14ac:dyDescent="0.3">
      <c r="A38" s="26" t="s">
        <v>35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1:29" x14ac:dyDescent="0.3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28"/>
      <c r="R39" s="27"/>
      <c r="S39" s="41">
        <f>R31+1</f>
        <v>46023</v>
      </c>
    </row>
    <row r="40" spans="1:29" x14ac:dyDescent="0.3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28"/>
      <c r="R40" s="27"/>
    </row>
    <row r="41" spans="1:29" x14ac:dyDescent="0.3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28"/>
      <c r="R41" s="27"/>
    </row>
    <row r="42" spans="1:29" x14ac:dyDescent="0.3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28"/>
      <c r="R42" s="27"/>
    </row>
    <row r="43" spans="1:29" x14ac:dyDescent="0.3">
      <c r="A43" s="113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88"/>
      <c r="R43" s="27"/>
    </row>
    <row r="44" spans="1:29" x14ac:dyDescent="0.3">
      <c r="A44" s="113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28"/>
    </row>
    <row r="45" spans="1:29" x14ac:dyDescent="0.3">
      <c r="A45" s="113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28"/>
    </row>
    <row r="46" spans="1:29" x14ac:dyDescent="0.3">
      <c r="A46" s="113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28"/>
    </row>
    <row r="47" spans="1:29" x14ac:dyDescent="0.3">
      <c r="A47" s="113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28"/>
    </row>
    <row r="48" spans="1:29" x14ac:dyDescent="0.3">
      <c r="Q48" s="28"/>
    </row>
    <row r="50" spans="1:18" x14ac:dyDescent="0.3">
      <c r="A50" s="26"/>
      <c r="Q50" s="30"/>
    </row>
    <row r="51" spans="1:18" x14ac:dyDescent="0.3">
      <c r="A51" s="29"/>
      <c r="H51" s="84"/>
      <c r="Q51" s="30"/>
    </row>
    <row r="52" spans="1:18" x14ac:dyDescent="0.3">
      <c r="A52" s="31"/>
      <c r="Q52" s="85"/>
    </row>
    <row r="54" spans="1:18" x14ac:dyDescent="0.3">
      <c r="A54" s="26" t="s">
        <v>36</v>
      </c>
      <c r="Q54" s="27"/>
    </row>
    <row r="55" spans="1:18" x14ac:dyDescent="0.3">
      <c r="A55" s="113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28"/>
    </row>
    <row r="56" spans="1:18" s="1" customFormat="1" x14ac:dyDescent="0.3">
      <c r="A56" s="113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28"/>
    </row>
    <row r="57" spans="1:18" s="1" customFormat="1" x14ac:dyDescent="0.3">
      <c r="A57" s="113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28"/>
    </row>
    <row r="58" spans="1:18" x14ac:dyDescent="0.3">
      <c r="A58" s="113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28"/>
      <c r="R58" s="28"/>
    </row>
    <row r="59" spans="1:18" s="1" customFormat="1" x14ac:dyDescent="0.3">
      <c r="A59" s="113"/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28"/>
      <c r="R59" s="28"/>
    </row>
    <row r="60" spans="1:18" s="1" customFormat="1" x14ac:dyDescent="0.3">
      <c r="A60" s="113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28"/>
      <c r="R60" s="28"/>
    </row>
    <row r="61" spans="1:18" x14ac:dyDescent="0.3">
      <c r="A61" s="113"/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28"/>
      <c r="R61" s="28"/>
    </row>
    <row r="62" spans="1:18" s="1" customFormat="1" x14ac:dyDescent="0.3">
      <c r="A62" s="113"/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28"/>
      <c r="R62" s="28"/>
    </row>
    <row r="63" spans="1:18" s="1" customFormat="1" x14ac:dyDescent="0.3">
      <c r="A63" s="113"/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28"/>
      <c r="R63" s="28"/>
    </row>
    <row r="64" spans="1:18" x14ac:dyDescent="0.3">
      <c r="A64" s="113"/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28"/>
      <c r="R64" s="28"/>
    </row>
    <row r="65" spans="1:18" s="1" customFormat="1" x14ac:dyDescent="0.3">
      <c r="A65" s="113"/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28"/>
      <c r="R65" s="28"/>
    </row>
    <row r="66" spans="1:18" s="1" customFormat="1" x14ac:dyDescent="0.3">
      <c r="A66" s="113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28"/>
      <c r="R66" s="28"/>
    </row>
    <row r="67" spans="1:18" s="1" customFormat="1" x14ac:dyDescent="0.3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</row>
    <row r="68" spans="1:18" s="1" customFormat="1" x14ac:dyDescent="0.3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x14ac:dyDescent="0.3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</row>
    <row r="70" spans="1:18" x14ac:dyDescent="0.3">
      <c r="R70" s="28"/>
    </row>
  </sheetData>
  <sheetProtection algorithmName="SHA-512" hashValue="a0UKvBCOQiuGbA3CKq4yeqK3Vw1KjzKPg6Rz3uWJiRBdCz+KcfSdBG1O/apvQrHe8O4LTrKw3uK9L+LiByUMZw==" saltValue="sRaXjPskQCtTMKe+HC/WCw==" spinCount="100000" sheet="1" objects="1" scenarios="1"/>
  <mergeCells count="52">
    <mergeCell ref="A16:A18"/>
    <mergeCell ref="B16:B18"/>
    <mergeCell ref="K16:K17"/>
    <mergeCell ref="C7:E7"/>
    <mergeCell ref="C10:D10"/>
    <mergeCell ref="C9:D9"/>
    <mergeCell ref="C12:D12"/>
    <mergeCell ref="D15:G15"/>
    <mergeCell ref="C16:C18"/>
    <mergeCell ref="D16:D18"/>
    <mergeCell ref="E16:E18"/>
    <mergeCell ref="H10:L10"/>
    <mergeCell ref="H4:I4"/>
    <mergeCell ref="C5:E5"/>
    <mergeCell ref="H5:I5"/>
    <mergeCell ref="C6:E6"/>
    <mergeCell ref="C4:E4"/>
    <mergeCell ref="S17:T17"/>
    <mergeCell ref="F36:G36"/>
    <mergeCell ref="I36:K36"/>
    <mergeCell ref="L16:L17"/>
    <mergeCell ref="M16:M17"/>
    <mergeCell ref="N16:N18"/>
    <mergeCell ref="O16:O18"/>
    <mergeCell ref="H16:H17"/>
    <mergeCell ref="F16:F18"/>
    <mergeCell ref="Q17:R17"/>
    <mergeCell ref="J16:J17"/>
    <mergeCell ref="I16:I18"/>
    <mergeCell ref="P16:P18"/>
    <mergeCell ref="G16:G17"/>
    <mergeCell ref="A39:P39"/>
    <mergeCell ref="A40:P40"/>
    <mergeCell ref="A41:P41"/>
    <mergeCell ref="A42:P42"/>
    <mergeCell ref="A43:P43"/>
    <mergeCell ref="A44:P44"/>
    <mergeCell ref="A45:P45"/>
    <mergeCell ref="A46:P46"/>
    <mergeCell ref="A47:P47"/>
    <mergeCell ref="A55:P55"/>
    <mergeCell ref="A56:P56"/>
    <mergeCell ref="A57:P57"/>
    <mergeCell ref="A58:P58"/>
    <mergeCell ref="A59:P59"/>
    <mergeCell ref="A60:P60"/>
    <mergeCell ref="A66:P66"/>
    <mergeCell ref="A61:P61"/>
    <mergeCell ref="A62:P62"/>
    <mergeCell ref="A63:P63"/>
    <mergeCell ref="A64:P64"/>
    <mergeCell ref="A65:P65"/>
  </mergeCells>
  <phoneticPr fontId="0" type="noConversion"/>
  <dataValidations count="1">
    <dataValidation type="textLength" operator="equal" allowBlank="1" showInputMessage="1" showErrorMessage="1" errorTitle="Bitte korrigieren:" error="m = männlich_x000a_w = weiblich" sqref="I7" xr:uid="{00000000-0002-0000-0200-000000000000}">
      <formula1>1</formula1>
    </dataValidation>
  </dataValidations>
  <printOptions horizontalCentered="1"/>
  <pageMargins left="1.0629921259842521" right="0.78740157480314965" top="0.59055118110236227" bottom="0.59055118110236227" header="0.51181102362204722" footer="0.31496062992125984"/>
  <pageSetup paperSize="9" scale="63" orientation="landscape" r:id="rId1"/>
  <headerFooter>
    <oddFooter>&amp;L&amp;G&amp;C&amp;"Segoe UI Semilight,Standard"&amp;K1D71B8Bern | Biel/Bienne&amp;R&amp;"Segoe UI Semilight,Standard"&amp;K1D71B8strasser-ag.ch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AD70"/>
  <sheetViews>
    <sheetView showGridLines="0" zoomScale="90" zoomScaleNormal="90" workbookViewId="0">
      <selection activeCell="B20" sqref="B20"/>
    </sheetView>
  </sheetViews>
  <sheetFormatPr baseColWidth="10" defaultColWidth="11.28515625" defaultRowHeight="16.5" x14ac:dyDescent="0.3"/>
  <cols>
    <col min="1" max="1" width="16" style="25" customWidth="1"/>
    <col min="2" max="15" width="12.140625" style="25" customWidth="1"/>
    <col min="16" max="16" width="11.85546875" style="25" bestFit="1" customWidth="1"/>
    <col min="17" max="17" width="10.7109375" style="25" hidden="1" customWidth="1"/>
    <col min="18" max="18" width="11" style="25" hidden="1" customWidth="1"/>
    <col min="19" max="19" width="10.7109375" style="25" hidden="1" customWidth="1"/>
    <col min="20" max="20" width="11" style="25" hidden="1" customWidth="1"/>
    <col min="21" max="21" width="14.85546875" style="25" hidden="1" customWidth="1"/>
    <col min="22" max="22" width="14.28515625" style="25" hidden="1" customWidth="1"/>
    <col min="23" max="23" width="7.85546875" style="25" hidden="1" customWidth="1"/>
    <col min="24" max="24" width="9.85546875" style="25" hidden="1" customWidth="1"/>
    <col min="25" max="25" width="12.7109375" style="25" hidden="1" customWidth="1"/>
    <col min="26" max="26" width="14" style="25" hidden="1" customWidth="1"/>
    <col min="27" max="27" width="17.5703125" style="25" hidden="1" customWidth="1"/>
    <col min="28" max="28" width="11.5703125" style="25" hidden="1" customWidth="1"/>
    <col min="29" max="30" width="14.28515625" style="25" hidden="1" customWidth="1"/>
    <col min="31" max="31" width="11.28515625" style="25" customWidth="1"/>
    <col min="32" max="16384" width="11.28515625" style="25"/>
  </cols>
  <sheetData>
    <row r="1" spans="1:18" s="34" customFormat="1" ht="20.25" x14ac:dyDescent="0.35">
      <c r="A1" s="32" t="s">
        <v>42</v>
      </c>
      <c r="B1" s="33">
        <f>Jahr</f>
        <v>2025</v>
      </c>
      <c r="P1" s="35">
        <f>Firma</f>
        <v>0</v>
      </c>
    </row>
    <row r="2" spans="1:18" s="34" customFormat="1" ht="20.25" x14ac:dyDescent="0.35">
      <c r="E2" s="36"/>
      <c r="P2" s="35">
        <f>Ort</f>
        <v>0</v>
      </c>
    </row>
    <row r="3" spans="1:18" s="34" customFormat="1" x14ac:dyDescent="0.3">
      <c r="Q3" s="37"/>
    </row>
    <row r="4" spans="1:18" s="34" customFormat="1" x14ac:dyDescent="0.3">
      <c r="A4" s="38" t="s">
        <v>2</v>
      </c>
      <c r="C4" s="134"/>
      <c r="D4" s="134"/>
      <c r="E4" s="134"/>
      <c r="G4" s="39" t="s">
        <v>3</v>
      </c>
      <c r="H4" s="132"/>
      <c r="I4" s="132"/>
      <c r="J4" s="40" t="str">
        <f>IF(H4&gt;R31,"Achtung, ungültiges Datum"," ")</f>
        <v xml:space="preserve"> </v>
      </c>
      <c r="R4" s="41">
        <f>IF(H4&gt;Q20,H4,Q20)</f>
        <v>45658</v>
      </c>
    </row>
    <row r="5" spans="1:18" s="34" customFormat="1" x14ac:dyDescent="0.3">
      <c r="A5" s="38" t="s">
        <v>4</v>
      </c>
      <c r="C5" s="133"/>
      <c r="D5" s="133"/>
      <c r="E5" s="133"/>
      <c r="G5" s="39" t="s">
        <v>5</v>
      </c>
      <c r="H5" s="132"/>
      <c r="I5" s="132"/>
      <c r="J5" s="40" t="str">
        <f>IF(H5=0," ",IF(H5&lt;Q20,"Achtung, ungültiges Datum"," "))</f>
        <v xml:space="preserve"> </v>
      </c>
      <c r="R5" s="41">
        <f>IF(H5=0,R31,IF(H5&gt;R31,R31,H5))</f>
        <v>46022</v>
      </c>
    </row>
    <row r="6" spans="1:18" s="34" customFormat="1" ht="17.649999999999999" customHeight="1" x14ac:dyDescent="0.3">
      <c r="A6" s="38" t="s">
        <v>6</v>
      </c>
      <c r="C6" s="133"/>
      <c r="D6" s="133"/>
      <c r="E6" s="133"/>
      <c r="H6" s="42" t="str">
        <f>IF(H5&lt;H4,IF(H5="","","Achtung: Fehler Eintritt / Austritt"),"")</f>
        <v/>
      </c>
      <c r="I6" s="43"/>
    </row>
    <row r="7" spans="1:18" s="34" customFormat="1" ht="17.649999999999999" customHeight="1" x14ac:dyDescent="0.3">
      <c r="A7" s="38" t="s">
        <v>33</v>
      </c>
      <c r="C7" s="133"/>
      <c r="D7" s="133"/>
      <c r="E7" s="133"/>
      <c r="G7" s="39" t="s">
        <v>7</v>
      </c>
      <c r="I7" s="44"/>
      <c r="J7" s="45" t="str">
        <f>IF(E13=1,IF(I7="M","Achtung: Mitarbeiter wird pensioniert per:",IF(E13=1,"Achtung: Mitarbeiterin wird pensioniert per:","")),"")</f>
        <v/>
      </c>
      <c r="N7" s="46" t="str">
        <f>IF(E13=1,C14," ")</f>
        <v xml:space="preserve"> </v>
      </c>
      <c r="O7" s="46"/>
    </row>
    <row r="8" spans="1:18" s="34" customFormat="1" x14ac:dyDescent="0.3">
      <c r="A8" s="38"/>
      <c r="C8" s="42" t="str">
        <f>IF((B35+C35)&lt;&gt;0,IF(C4="","Achtung: Name, Vorname und Adresse eingeben!",""),"")</f>
        <v/>
      </c>
      <c r="D8" s="37"/>
      <c r="E8" s="37"/>
      <c r="I8" s="42" t="str">
        <f>IF((B35+C35)&lt;&gt;0,IF(I7="","Achtung: 'm' für männlich, 'w' für weiblich eingeben!",""),"")</f>
        <v/>
      </c>
      <c r="K8" s="43"/>
    </row>
    <row r="9" spans="1:18" s="34" customFormat="1" x14ac:dyDescent="0.3">
      <c r="A9" s="38" t="s">
        <v>54</v>
      </c>
      <c r="C9" s="135"/>
      <c r="D9" s="135"/>
      <c r="E9" s="47"/>
      <c r="F9" s="48" t="str">
        <f ca="1">IF(D13&gt;=1,"Referenzalter erreicht ab","")</f>
        <v/>
      </c>
      <c r="G9" s="49" t="str">
        <f ca="1">IF(D13=1,C14, " ")</f>
        <v xml:space="preserve"> </v>
      </c>
      <c r="H9" s="50" t="str">
        <f ca="1">IF(F9&gt;" ","AHV-Freibetrag von Fr. 1'400.-- pro Monat berücksichtigen! Kein ALV-Abzug mehr; Korrektur unter Spalte M oder N","")</f>
        <v/>
      </c>
      <c r="I9" s="1"/>
      <c r="J9" s="1"/>
      <c r="K9" s="1"/>
      <c r="L9" s="1"/>
      <c r="M9" s="1"/>
      <c r="N9" s="1"/>
      <c r="O9" s="1"/>
      <c r="P9" s="1"/>
      <c r="Q9" s="1"/>
    </row>
    <row r="10" spans="1:18" s="34" customFormat="1" x14ac:dyDescent="0.3">
      <c r="A10" s="38" t="s">
        <v>55</v>
      </c>
      <c r="C10" s="135"/>
      <c r="D10" s="135"/>
      <c r="E10" s="37"/>
      <c r="F10" s="45"/>
      <c r="G10" s="51"/>
      <c r="H10" s="137" t="str">
        <f ca="1">IF(H9&gt;" ","Mitarbeitende können neu freiwillig auf den AHV-Freibetrag verzichten","")</f>
        <v/>
      </c>
      <c r="I10" s="137"/>
      <c r="J10" s="137"/>
      <c r="K10" s="137"/>
      <c r="L10" s="137"/>
    </row>
    <row r="11" spans="1:18" s="34" customFormat="1" x14ac:dyDescent="0.3">
      <c r="A11" s="38"/>
      <c r="C11" s="52"/>
      <c r="D11" s="52"/>
      <c r="E11" s="45"/>
      <c r="F11" s="53" t="str">
        <f>IF(F13&lt;18,IF(C13&gt;0,"Achtung:",""),"")</f>
        <v/>
      </c>
      <c r="G11" s="51" t="str">
        <f>IF(F11&gt;" ","Angestellte Person ist unter 18 Jahre!","")</f>
        <v/>
      </c>
      <c r="P11" s="54"/>
    </row>
    <row r="12" spans="1:18" s="34" customFormat="1" x14ac:dyDescent="0.3">
      <c r="A12" s="38" t="s">
        <v>8</v>
      </c>
      <c r="C12" s="136"/>
      <c r="D12" s="136"/>
      <c r="E12" s="45"/>
      <c r="G12" s="51" t="str">
        <f>IF(F11&gt;" ","Lohn unter 'nicht AHV-pflichtig' eintragen und ALV manuell auf 0% stellen!","")</f>
        <v/>
      </c>
    </row>
    <row r="13" spans="1:18" s="34" customFormat="1" hidden="1" x14ac:dyDescent="0.3">
      <c r="A13" s="56" t="s">
        <v>62</v>
      </c>
      <c r="B13" s="57"/>
      <c r="C13" s="58" t="b">
        <f>IF($C$12&gt;0,IF(I7="W",EDATE($C$12,(12*64.33)),IF(I7="M",EDATE($C$12,65*12))))</f>
        <v>0</v>
      </c>
      <c r="D13" s="59">
        <f ca="1">IF(C14&gt;TODAY(),0,1)</f>
        <v>0</v>
      </c>
      <c r="E13" s="60">
        <f>IF(C14-($Q$20-1)&lt;365.25,IF(C14-($Q$20-1)&gt;0,1,0),0)</f>
        <v>0</v>
      </c>
      <c r="F13" s="34">
        <f>(R31-C12)/365.25</f>
        <v>126.00136892539356</v>
      </c>
    </row>
    <row r="14" spans="1:18" s="34" customFormat="1" hidden="1" x14ac:dyDescent="0.3">
      <c r="A14" s="56" t="s">
        <v>63</v>
      </c>
      <c r="B14" s="57"/>
      <c r="C14" s="61">
        <f>IFERROR(IF(I7="W",IF(C12&gt;22281,EOMONTH(C13,1),EOMONTH(C13,-2)),EOMONTH(C13,1)),DATE(2900,1,1))</f>
        <v>365245</v>
      </c>
      <c r="E14" s="60"/>
    </row>
    <row r="15" spans="1:18" s="34" customFormat="1" x14ac:dyDescent="0.3">
      <c r="A15" s="37"/>
      <c r="D15" s="130" t="s">
        <v>41</v>
      </c>
      <c r="E15" s="130"/>
      <c r="F15" s="130"/>
      <c r="G15" s="131"/>
      <c r="H15" s="62"/>
      <c r="I15" s="63"/>
      <c r="J15" s="62"/>
      <c r="K15" s="62"/>
    </row>
    <row r="16" spans="1:18" s="16" customFormat="1" ht="12.75" customHeight="1" x14ac:dyDescent="0.25">
      <c r="A16" s="117" t="s">
        <v>9</v>
      </c>
      <c r="B16" s="117" t="str">
        <f>Zusammenstellung!C21</f>
        <v>AHV-Lohn</v>
      </c>
      <c r="C16" s="117" t="str">
        <f>Zusammenstellung!D21</f>
        <v>nicht AHV-pflichtig</v>
      </c>
      <c r="D16" s="117" t="str">
        <f>Zusammenstellung!E21</f>
        <v>Unfall- und
Kranken-
taggeld</v>
      </c>
      <c r="E16" s="117" t="str">
        <f>Zusammenstellung!F21</f>
        <v>Kinder-
zulagen</v>
      </c>
      <c r="F16" s="117" t="str">
        <f>Zusammenstellung!G21</f>
        <v>Total Bruttolohn</v>
      </c>
      <c r="G16" s="128" t="str">
        <f>Zusammenstellung!H21</f>
        <v>AHV</v>
      </c>
      <c r="H16" s="128" t="str">
        <f>Zusammenstellung!I21</f>
        <v>ALV</v>
      </c>
      <c r="I16" s="117" t="str">
        <f>Zusammenstellung!J21</f>
        <v>BVG</v>
      </c>
      <c r="J16" s="128" t="str">
        <f>Zusammenstellung!K21</f>
        <v>NBU</v>
      </c>
      <c r="K16" s="128" t="str">
        <f>Zusammenstellung!L21</f>
        <v>KTG</v>
      </c>
      <c r="L16" s="120"/>
      <c r="M16" s="120"/>
      <c r="N16" s="117" t="str">
        <f>Zusammenstellung!O21</f>
        <v>Nettolohn</v>
      </c>
      <c r="O16" s="117" t="str">
        <f>Zusammenstellung!P21</f>
        <v xml:space="preserve">Spesen </v>
      </c>
      <c r="P16" s="117" t="str">
        <f>Zusammenstellung!Q21</f>
        <v>Auszahlung</v>
      </c>
    </row>
    <row r="17" spans="1:29" s="16" customFormat="1" ht="14.25" x14ac:dyDescent="0.25">
      <c r="A17" s="118"/>
      <c r="B17" s="118"/>
      <c r="C17" s="118"/>
      <c r="D17" s="118"/>
      <c r="E17" s="118"/>
      <c r="F17" s="118"/>
      <c r="G17" s="129"/>
      <c r="H17" s="129"/>
      <c r="I17" s="118"/>
      <c r="J17" s="129"/>
      <c r="K17" s="129"/>
      <c r="L17" s="121"/>
      <c r="M17" s="121"/>
      <c r="N17" s="118"/>
      <c r="O17" s="118"/>
      <c r="P17" s="118"/>
      <c r="Q17" s="115" t="s">
        <v>9</v>
      </c>
      <c r="R17" s="116"/>
      <c r="S17" s="116" t="s">
        <v>45</v>
      </c>
      <c r="T17" s="116"/>
      <c r="U17" s="16" t="s">
        <v>46</v>
      </c>
      <c r="V17" s="16" t="s">
        <v>47</v>
      </c>
      <c r="W17" s="16" t="s">
        <v>50</v>
      </c>
      <c r="X17" s="16" t="s">
        <v>60</v>
      </c>
      <c r="Y17" s="16" t="s">
        <v>51</v>
      </c>
      <c r="Z17" s="16" t="s">
        <v>61</v>
      </c>
      <c r="AA17" s="16" t="s">
        <v>49</v>
      </c>
      <c r="AB17" s="16" t="s">
        <v>48</v>
      </c>
      <c r="AC17" s="16" t="s">
        <v>59</v>
      </c>
    </row>
    <row r="18" spans="1:29" s="16" customFormat="1" ht="14.25" x14ac:dyDescent="0.2">
      <c r="A18" s="119"/>
      <c r="B18" s="119"/>
      <c r="C18" s="119"/>
      <c r="D18" s="119"/>
      <c r="E18" s="119"/>
      <c r="F18" s="119"/>
      <c r="G18" s="64">
        <f>AHV</f>
        <v>5.2999999999999999E-2</v>
      </c>
      <c r="H18" s="64">
        <f>IF(H15="",ALV,H15)</f>
        <v>1.0999999999999999E-2</v>
      </c>
      <c r="I18" s="119"/>
      <c r="J18" s="64">
        <f>IF(J15="",NBU,J15)</f>
        <v>1.4E-2</v>
      </c>
      <c r="K18" s="64">
        <f>IF(K15="",IF(I7="w",KTGW,KTG),K15)</f>
        <v>0.01</v>
      </c>
      <c r="L18" s="17"/>
      <c r="M18" s="17"/>
      <c r="N18" s="119"/>
      <c r="O18" s="119"/>
      <c r="P18" s="119"/>
      <c r="Q18" s="65" t="s">
        <v>43</v>
      </c>
      <c r="R18" s="65" t="s">
        <v>44</v>
      </c>
      <c r="S18" s="65" t="s">
        <v>43</v>
      </c>
      <c r="T18" s="65" t="s">
        <v>44</v>
      </c>
    </row>
    <row r="19" spans="1:29" s="16" customFormat="1" x14ac:dyDescent="0.3">
      <c r="A19" s="63"/>
      <c r="B19" s="63"/>
      <c r="C19" s="63"/>
      <c r="D19" s="63"/>
      <c r="E19" s="63"/>
      <c r="F19" s="63"/>
      <c r="G19" s="66"/>
      <c r="H19" s="66"/>
      <c r="I19" s="63"/>
      <c r="J19" s="66"/>
      <c r="K19" s="66"/>
      <c r="L19" s="66"/>
      <c r="M19" s="66"/>
      <c r="N19" s="63"/>
      <c r="O19" s="63"/>
      <c r="P19" s="63"/>
      <c r="Z19" s="67"/>
    </row>
    <row r="20" spans="1:29" x14ac:dyDescent="0.3">
      <c r="A20" s="68">
        <v>38383</v>
      </c>
      <c r="B20" s="69"/>
      <c r="C20" s="69"/>
      <c r="D20" s="69"/>
      <c r="E20" s="69"/>
      <c r="F20" s="70">
        <f>SUM(B20:E20)</f>
        <v>0</v>
      </c>
      <c r="G20" s="71">
        <f>ROUND($B20*G$18/5,2)*5</f>
        <v>0</v>
      </c>
      <c r="H20" s="71">
        <f t="shared" ref="H20:H33" si="0">ROUND(W20*$H$18/5,2)*5</f>
        <v>0</v>
      </c>
      <c r="I20" s="69"/>
      <c r="J20" s="71">
        <f t="shared" ref="J20:J33" si="1">ROUND(W20*$J$18/5,2)*5</f>
        <v>0</v>
      </c>
      <c r="K20" s="71">
        <f t="shared" ref="K20:K33" si="2">ROUND(($B20+$C20)*K$18/5,2)*5</f>
        <v>0</v>
      </c>
      <c r="L20" s="69"/>
      <c r="M20" s="69"/>
      <c r="N20" s="71">
        <f>F20-G20-H20-J20-K20-L20-M20-I20</f>
        <v>0</v>
      </c>
      <c r="O20" s="69"/>
      <c r="P20" s="70">
        <f>N20+O20</f>
        <v>0</v>
      </c>
      <c r="Q20" s="72">
        <v>45658</v>
      </c>
      <c r="R20" s="41">
        <f>Q20+30</f>
        <v>45688</v>
      </c>
      <c r="S20" s="41">
        <f>IF($R$4&gt;R20,0,IF($R$4&gt;Q20,$R$4,Q20))</f>
        <v>45658</v>
      </c>
      <c r="T20" s="41">
        <f>IF(S20=0,0,IF($R$5&gt;R20,R20,IF(S20&gt;$R$5,(S20)-1,$R$5)))</f>
        <v>45688</v>
      </c>
      <c r="U20" s="73">
        <f>IF(S20=0,0,DAYS360(S20,T20,1)+1)</f>
        <v>30</v>
      </c>
      <c r="V20" s="73">
        <f>U20</f>
        <v>30</v>
      </c>
      <c r="W20" s="67">
        <f>IF(AA20&gt;AB20,AB20-Y19,AA20-Y19)</f>
        <v>0</v>
      </c>
      <c r="X20" s="67">
        <f>IF(AA20&lt;(AB20),0,IF(AA20&gt;(AB20+AC20),AC20-Z19,AA20-Z19-AB20))</f>
        <v>0</v>
      </c>
      <c r="Y20" s="67">
        <f>W20</f>
        <v>0</v>
      </c>
      <c r="Z20" s="67">
        <f>X20</f>
        <v>0</v>
      </c>
      <c r="AA20" s="67">
        <f>B20+C20</f>
        <v>0</v>
      </c>
      <c r="AB20" s="67">
        <f>ALVMAX/360*V20</f>
        <v>12350</v>
      </c>
      <c r="AC20" s="67">
        <f>(ALVMAX2/360*V20)-AB20</f>
        <v>8320983.2500000009</v>
      </c>
    </row>
    <row r="21" spans="1:29" x14ac:dyDescent="0.3">
      <c r="A21" s="68">
        <v>38411</v>
      </c>
      <c r="B21" s="69"/>
      <c r="C21" s="69"/>
      <c r="D21" s="69"/>
      <c r="E21" s="69"/>
      <c r="F21" s="70">
        <f t="shared" ref="F21:F33" si="3">SUM(B21:E21)</f>
        <v>0</v>
      </c>
      <c r="G21" s="71">
        <f t="shared" ref="G21:G33" si="4">ROUND(B21*$G$18/5,2)*5</f>
        <v>0</v>
      </c>
      <c r="H21" s="71">
        <f t="shared" si="0"/>
        <v>0</v>
      </c>
      <c r="I21" s="69"/>
      <c r="J21" s="71">
        <f t="shared" si="1"/>
        <v>0</v>
      </c>
      <c r="K21" s="71">
        <f t="shared" si="2"/>
        <v>0</v>
      </c>
      <c r="L21" s="69"/>
      <c r="M21" s="69"/>
      <c r="N21" s="71">
        <f t="shared" ref="N21:N33" si="5">F21-G21-H21-J21-K21-L21-M21-I21</f>
        <v>0</v>
      </c>
      <c r="O21" s="69"/>
      <c r="P21" s="70">
        <f t="shared" ref="P21:P33" si="6">N21+O21</f>
        <v>0</v>
      </c>
      <c r="Q21" s="41">
        <f>R20+1</f>
        <v>45689</v>
      </c>
      <c r="R21" s="72">
        <v>45716</v>
      </c>
      <c r="S21" s="41">
        <f t="shared" ref="S21:S31" si="7">IF($R$4&gt;R21,0,IF($R$4&gt;Q21,$R$4,Q21))</f>
        <v>45689</v>
      </c>
      <c r="T21" s="41">
        <f t="shared" ref="T21:T31" si="8">IF(S21=0,0,IF($R$5&gt;R21,R21,IF(S21&gt;$R$5,(S21)-1,$R$5)))</f>
        <v>45716</v>
      </c>
      <c r="U21" s="73">
        <f>IF(S21=0,0,IF(R21=T21,DAYS360(S21,T21,1)+3,DAYS360(S21,T21,1)+1))</f>
        <v>30</v>
      </c>
      <c r="V21" s="73">
        <f>V20+U21</f>
        <v>60</v>
      </c>
      <c r="W21" s="67">
        <f>IF(AA21&gt;AB21,AB21-Y20,AA21-Y20)</f>
        <v>0</v>
      </c>
      <c r="X21" s="67">
        <f>IF(AA21&lt;(AB21),0,IF(AA21&gt;(AB21+AC21),AC21-Z20,AA21-Z20-AB21))</f>
        <v>0</v>
      </c>
      <c r="Y21" s="67">
        <f t="shared" ref="Y21:Y33" si="9">Y20+W21</f>
        <v>0</v>
      </c>
      <c r="Z21" s="67">
        <f>X21+Z20</f>
        <v>0</v>
      </c>
      <c r="AA21" s="67">
        <f t="shared" ref="AA21:AA33" si="10">AA20+B21+C21</f>
        <v>0</v>
      </c>
      <c r="AB21" s="67">
        <f t="shared" ref="AB21:AB31" si="11">ALVMAX/360*V21</f>
        <v>24700</v>
      </c>
      <c r="AC21" s="67">
        <f t="shared" ref="AC21:AC33" si="12">(ALVMAX2/360*V21)-AB21</f>
        <v>16641966.500000002</v>
      </c>
    </row>
    <row r="22" spans="1:29" x14ac:dyDescent="0.3">
      <c r="A22" s="68">
        <v>38442</v>
      </c>
      <c r="B22" s="69"/>
      <c r="C22" s="69"/>
      <c r="D22" s="69"/>
      <c r="E22" s="69"/>
      <c r="F22" s="70">
        <f t="shared" si="3"/>
        <v>0</v>
      </c>
      <c r="G22" s="71">
        <f t="shared" si="4"/>
        <v>0</v>
      </c>
      <c r="H22" s="71">
        <f t="shared" si="0"/>
        <v>0</v>
      </c>
      <c r="I22" s="69"/>
      <c r="J22" s="71">
        <f t="shared" si="1"/>
        <v>0</v>
      </c>
      <c r="K22" s="71">
        <f t="shared" si="2"/>
        <v>0</v>
      </c>
      <c r="L22" s="69"/>
      <c r="M22" s="69"/>
      <c r="N22" s="71">
        <f t="shared" si="5"/>
        <v>0</v>
      </c>
      <c r="O22" s="69"/>
      <c r="P22" s="70">
        <f t="shared" si="6"/>
        <v>0</v>
      </c>
      <c r="Q22" s="41">
        <f>R21+1</f>
        <v>45717</v>
      </c>
      <c r="R22" s="41">
        <f>Q22+30</f>
        <v>45747</v>
      </c>
      <c r="S22" s="41">
        <f t="shared" si="7"/>
        <v>45717</v>
      </c>
      <c r="T22" s="41">
        <f t="shared" si="8"/>
        <v>45747</v>
      </c>
      <c r="U22" s="73">
        <f>IF(S22=0,0,IF(T22=R21,DAYS360(S22,T22,1)+3,DAYS360(S22,T22,1)+1))</f>
        <v>30</v>
      </c>
      <c r="V22" s="73">
        <f t="shared" ref="V22:V31" si="13">V21+U22</f>
        <v>90</v>
      </c>
      <c r="W22" s="67">
        <f>IF(AA22&gt;AB22,AB22-Y21,AA22-Y21)</f>
        <v>0</v>
      </c>
      <c r="X22" s="67">
        <f t="shared" ref="X22:X33" si="14">IF(AA22&lt;(AB22),0,IF(AA22&gt;(AB22+AC22),AC22-Z21,AA22-Z21-AB22))</f>
        <v>0</v>
      </c>
      <c r="Y22" s="67">
        <f t="shared" si="9"/>
        <v>0</v>
      </c>
      <c r="Z22" s="67">
        <f t="shared" ref="Z22:Z33" si="15">X22+Z21</f>
        <v>0</v>
      </c>
      <c r="AA22" s="67">
        <f t="shared" si="10"/>
        <v>0</v>
      </c>
      <c r="AB22" s="67">
        <f t="shared" si="11"/>
        <v>37050</v>
      </c>
      <c r="AC22" s="67">
        <f t="shared" si="12"/>
        <v>24962949.750000004</v>
      </c>
    </row>
    <row r="23" spans="1:29" x14ac:dyDescent="0.3">
      <c r="A23" s="68">
        <v>38472</v>
      </c>
      <c r="B23" s="69"/>
      <c r="C23" s="69"/>
      <c r="D23" s="69"/>
      <c r="E23" s="69"/>
      <c r="F23" s="70">
        <f t="shared" si="3"/>
        <v>0</v>
      </c>
      <c r="G23" s="71">
        <f t="shared" si="4"/>
        <v>0</v>
      </c>
      <c r="H23" s="71">
        <f t="shared" si="0"/>
        <v>0</v>
      </c>
      <c r="I23" s="69"/>
      <c r="J23" s="71">
        <f t="shared" si="1"/>
        <v>0</v>
      </c>
      <c r="K23" s="71">
        <f t="shared" si="2"/>
        <v>0</v>
      </c>
      <c r="L23" s="69"/>
      <c r="M23" s="69"/>
      <c r="N23" s="71">
        <f t="shared" si="5"/>
        <v>0</v>
      </c>
      <c r="O23" s="69"/>
      <c r="P23" s="70">
        <f t="shared" si="6"/>
        <v>0</v>
      </c>
      <c r="Q23" s="41">
        <f t="shared" ref="Q23:Q31" si="16">R22+1</f>
        <v>45748</v>
      </c>
      <c r="R23" s="41">
        <f>Q23+29</f>
        <v>45777</v>
      </c>
      <c r="S23" s="41">
        <f t="shared" si="7"/>
        <v>45748</v>
      </c>
      <c r="T23" s="41">
        <f t="shared" si="8"/>
        <v>45777</v>
      </c>
      <c r="U23" s="73">
        <f t="shared" ref="U23:U31" si="17">IF(S23=0,0,DAYS360(S23,T23,1)+1)</f>
        <v>30</v>
      </c>
      <c r="V23" s="73">
        <f t="shared" si="13"/>
        <v>120</v>
      </c>
      <c r="W23" s="67">
        <f t="shared" ref="W23:W33" si="18">IF(AA23&gt;AB23,AB23-Y22,AA23-Y22)</f>
        <v>0</v>
      </c>
      <c r="X23" s="67">
        <f t="shared" si="14"/>
        <v>0</v>
      </c>
      <c r="Y23" s="67">
        <f t="shared" si="9"/>
        <v>0</v>
      </c>
      <c r="Z23" s="67">
        <f t="shared" si="15"/>
        <v>0</v>
      </c>
      <c r="AA23" s="67">
        <f t="shared" si="10"/>
        <v>0</v>
      </c>
      <c r="AB23" s="67">
        <f t="shared" si="11"/>
        <v>49400</v>
      </c>
      <c r="AC23" s="67">
        <f t="shared" si="12"/>
        <v>33283933.000000004</v>
      </c>
    </row>
    <row r="24" spans="1:29" x14ac:dyDescent="0.3">
      <c r="A24" s="68">
        <v>38503</v>
      </c>
      <c r="B24" s="69"/>
      <c r="C24" s="69"/>
      <c r="D24" s="69"/>
      <c r="E24" s="69"/>
      <c r="F24" s="70">
        <f t="shared" si="3"/>
        <v>0</v>
      </c>
      <c r="G24" s="71">
        <f t="shared" si="4"/>
        <v>0</v>
      </c>
      <c r="H24" s="71">
        <f t="shared" si="0"/>
        <v>0</v>
      </c>
      <c r="I24" s="69"/>
      <c r="J24" s="71">
        <f t="shared" si="1"/>
        <v>0</v>
      </c>
      <c r="K24" s="71">
        <f t="shared" si="2"/>
        <v>0</v>
      </c>
      <c r="L24" s="69"/>
      <c r="M24" s="69"/>
      <c r="N24" s="71">
        <f t="shared" si="5"/>
        <v>0</v>
      </c>
      <c r="O24" s="69"/>
      <c r="P24" s="70">
        <f t="shared" si="6"/>
        <v>0</v>
      </c>
      <c r="Q24" s="41">
        <f t="shared" si="16"/>
        <v>45778</v>
      </c>
      <c r="R24" s="41">
        <f>Q24+30</f>
        <v>45808</v>
      </c>
      <c r="S24" s="41">
        <f t="shared" si="7"/>
        <v>45778</v>
      </c>
      <c r="T24" s="41">
        <f t="shared" si="8"/>
        <v>45808</v>
      </c>
      <c r="U24" s="73">
        <f t="shared" si="17"/>
        <v>30</v>
      </c>
      <c r="V24" s="73">
        <f t="shared" si="13"/>
        <v>150</v>
      </c>
      <c r="W24" s="67">
        <f t="shared" si="18"/>
        <v>0</v>
      </c>
      <c r="X24" s="67">
        <f t="shared" si="14"/>
        <v>0</v>
      </c>
      <c r="Y24" s="67">
        <f t="shared" si="9"/>
        <v>0</v>
      </c>
      <c r="Z24" s="67">
        <f t="shared" si="15"/>
        <v>0</v>
      </c>
      <c r="AA24" s="67">
        <f t="shared" si="10"/>
        <v>0</v>
      </c>
      <c r="AB24" s="67">
        <f t="shared" si="11"/>
        <v>61750</v>
      </c>
      <c r="AC24" s="67">
        <f t="shared" si="12"/>
        <v>41604916.25</v>
      </c>
    </row>
    <row r="25" spans="1:29" x14ac:dyDescent="0.3">
      <c r="A25" s="68">
        <v>38533</v>
      </c>
      <c r="B25" s="69"/>
      <c r="C25" s="69"/>
      <c r="D25" s="69"/>
      <c r="E25" s="69"/>
      <c r="F25" s="70">
        <f t="shared" si="3"/>
        <v>0</v>
      </c>
      <c r="G25" s="71">
        <f t="shared" si="4"/>
        <v>0</v>
      </c>
      <c r="H25" s="71">
        <f t="shared" si="0"/>
        <v>0</v>
      </c>
      <c r="I25" s="69"/>
      <c r="J25" s="71">
        <f t="shared" si="1"/>
        <v>0</v>
      </c>
      <c r="K25" s="71">
        <f t="shared" si="2"/>
        <v>0</v>
      </c>
      <c r="L25" s="69"/>
      <c r="M25" s="69"/>
      <c r="N25" s="71">
        <f t="shared" si="5"/>
        <v>0</v>
      </c>
      <c r="O25" s="69"/>
      <c r="P25" s="70">
        <f t="shared" si="6"/>
        <v>0</v>
      </c>
      <c r="Q25" s="41">
        <f t="shared" si="16"/>
        <v>45809</v>
      </c>
      <c r="R25" s="41">
        <f>Q25+29</f>
        <v>45838</v>
      </c>
      <c r="S25" s="41">
        <f t="shared" si="7"/>
        <v>45809</v>
      </c>
      <c r="T25" s="41">
        <f t="shared" si="8"/>
        <v>45838</v>
      </c>
      <c r="U25" s="73">
        <f t="shared" si="17"/>
        <v>30</v>
      </c>
      <c r="V25" s="73">
        <f t="shared" si="13"/>
        <v>180</v>
      </c>
      <c r="W25" s="67">
        <f t="shared" si="18"/>
        <v>0</v>
      </c>
      <c r="X25" s="67">
        <f t="shared" si="14"/>
        <v>0</v>
      </c>
      <c r="Y25" s="67">
        <f t="shared" si="9"/>
        <v>0</v>
      </c>
      <c r="Z25" s="67">
        <f t="shared" si="15"/>
        <v>0</v>
      </c>
      <c r="AA25" s="67">
        <f t="shared" si="10"/>
        <v>0</v>
      </c>
      <c r="AB25" s="67">
        <f t="shared" si="11"/>
        <v>74100</v>
      </c>
      <c r="AC25" s="67">
        <f t="shared" si="12"/>
        <v>49925899.500000007</v>
      </c>
    </row>
    <row r="26" spans="1:29" x14ac:dyDescent="0.3">
      <c r="A26" s="68">
        <v>38564</v>
      </c>
      <c r="B26" s="69"/>
      <c r="C26" s="69"/>
      <c r="D26" s="69"/>
      <c r="E26" s="69"/>
      <c r="F26" s="70">
        <f t="shared" si="3"/>
        <v>0</v>
      </c>
      <c r="G26" s="71">
        <f t="shared" si="4"/>
        <v>0</v>
      </c>
      <c r="H26" s="71">
        <f t="shared" si="0"/>
        <v>0</v>
      </c>
      <c r="I26" s="69"/>
      <c r="J26" s="71">
        <f t="shared" si="1"/>
        <v>0</v>
      </c>
      <c r="K26" s="71">
        <f t="shared" si="2"/>
        <v>0</v>
      </c>
      <c r="L26" s="69"/>
      <c r="M26" s="69"/>
      <c r="N26" s="71">
        <f t="shared" si="5"/>
        <v>0</v>
      </c>
      <c r="O26" s="69"/>
      <c r="P26" s="70">
        <f t="shared" si="6"/>
        <v>0</v>
      </c>
      <c r="Q26" s="41">
        <f t="shared" si="16"/>
        <v>45839</v>
      </c>
      <c r="R26" s="41">
        <f>Q26+30</f>
        <v>45869</v>
      </c>
      <c r="S26" s="41">
        <f t="shared" si="7"/>
        <v>45839</v>
      </c>
      <c r="T26" s="41">
        <f t="shared" si="8"/>
        <v>45869</v>
      </c>
      <c r="U26" s="73">
        <f t="shared" si="17"/>
        <v>30</v>
      </c>
      <c r="V26" s="73">
        <f t="shared" si="13"/>
        <v>210</v>
      </c>
      <c r="W26" s="67">
        <f t="shared" si="18"/>
        <v>0</v>
      </c>
      <c r="X26" s="67">
        <f t="shared" si="14"/>
        <v>0</v>
      </c>
      <c r="Y26" s="67">
        <f t="shared" si="9"/>
        <v>0</v>
      </c>
      <c r="Z26" s="67">
        <f t="shared" si="15"/>
        <v>0</v>
      </c>
      <c r="AA26" s="67">
        <f t="shared" si="10"/>
        <v>0</v>
      </c>
      <c r="AB26" s="67">
        <f t="shared" si="11"/>
        <v>86450</v>
      </c>
      <c r="AC26" s="67">
        <f t="shared" si="12"/>
        <v>58246882.750000007</v>
      </c>
    </row>
    <row r="27" spans="1:29" x14ac:dyDescent="0.3">
      <c r="A27" s="68">
        <v>38595</v>
      </c>
      <c r="B27" s="69"/>
      <c r="C27" s="69"/>
      <c r="D27" s="69"/>
      <c r="E27" s="69"/>
      <c r="F27" s="70">
        <f t="shared" si="3"/>
        <v>0</v>
      </c>
      <c r="G27" s="71">
        <f t="shared" si="4"/>
        <v>0</v>
      </c>
      <c r="H27" s="71">
        <f t="shared" si="0"/>
        <v>0</v>
      </c>
      <c r="I27" s="69"/>
      <c r="J27" s="71">
        <f t="shared" si="1"/>
        <v>0</v>
      </c>
      <c r="K27" s="71">
        <f t="shared" si="2"/>
        <v>0</v>
      </c>
      <c r="L27" s="69"/>
      <c r="M27" s="69"/>
      <c r="N27" s="71">
        <f t="shared" si="5"/>
        <v>0</v>
      </c>
      <c r="O27" s="69"/>
      <c r="P27" s="70">
        <f t="shared" si="6"/>
        <v>0</v>
      </c>
      <c r="Q27" s="41">
        <f t="shared" si="16"/>
        <v>45870</v>
      </c>
      <c r="R27" s="41">
        <f>Q27+30</f>
        <v>45900</v>
      </c>
      <c r="S27" s="41">
        <f t="shared" si="7"/>
        <v>45870</v>
      </c>
      <c r="T27" s="41">
        <f t="shared" si="8"/>
        <v>45900</v>
      </c>
      <c r="U27" s="73">
        <f t="shared" si="17"/>
        <v>30</v>
      </c>
      <c r="V27" s="73">
        <f t="shared" si="13"/>
        <v>240</v>
      </c>
      <c r="W27" s="67">
        <f t="shared" si="18"/>
        <v>0</v>
      </c>
      <c r="X27" s="67">
        <f t="shared" si="14"/>
        <v>0</v>
      </c>
      <c r="Y27" s="67">
        <f t="shared" si="9"/>
        <v>0</v>
      </c>
      <c r="Z27" s="67">
        <f t="shared" si="15"/>
        <v>0</v>
      </c>
      <c r="AA27" s="67">
        <f t="shared" si="10"/>
        <v>0</v>
      </c>
      <c r="AB27" s="67">
        <f t="shared" si="11"/>
        <v>98800</v>
      </c>
      <c r="AC27" s="67">
        <f t="shared" si="12"/>
        <v>66567866.000000007</v>
      </c>
    </row>
    <row r="28" spans="1:29" x14ac:dyDescent="0.3">
      <c r="A28" s="68">
        <v>38625</v>
      </c>
      <c r="B28" s="69"/>
      <c r="C28" s="69"/>
      <c r="D28" s="69"/>
      <c r="E28" s="69"/>
      <c r="F28" s="70">
        <f t="shared" si="3"/>
        <v>0</v>
      </c>
      <c r="G28" s="71">
        <f t="shared" si="4"/>
        <v>0</v>
      </c>
      <c r="H28" s="71">
        <f t="shared" si="0"/>
        <v>0</v>
      </c>
      <c r="I28" s="69"/>
      <c r="J28" s="71">
        <f t="shared" si="1"/>
        <v>0</v>
      </c>
      <c r="K28" s="71">
        <f t="shared" si="2"/>
        <v>0</v>
      </c>
      <c r="L28" s="69"/>
      <c r="M28" s="69"/>
      <c r="N28" s="71">
        <f t="shared" si="5"/>
        <v>0</v>
      </c>
      <c r="O28" s="69"/>
      <c r="P28" s="70">
        <f t="shared" si="6"/>
        <v>0</v>
      </c>
      <c r="Q28" s="41">
        <f t="shared" si="16"/>
        <v>45901</v>
      </c>
      <c r="R28" s="41">
        <f>Q28+29</f>
        <v>45930</v>
      </c>
      <c r="S28" s="41">
        <f t="shared" si="7"/>
        <v>45901</v>
      </c>
      <c r="T28" s="41">
        <f t="shared" si="8"/>
        <v>45930</v>
      </c>
      <c r="U28" s="73">
        <f t="shared" si="17"/>
        <v>30</v>
      </c>
      <c r="V28" s="73">
        <f t="shared" si="13"/>
        <v>270</v>
      </c>
      <c r="W28" s="67">
        <f t="shared" si="18"/>
        <v>0</v>
      </c>
      <c r="X28" s="67">
        <f t="shared" si="14"/>
        <v>0</v>
      </c>
      <c r="Y28" s="67">
        <f t="shared" si="9"/>
        <v>0</v>
      </c>
      <c r="Z28" s="67">
        <f t="shared" si="15"/>
        <v>0</v>
      </c>
      <c r="AA28" s="67">
        <f t="shared" si="10"/>
        <v>0</v>
      </c>
      <c r="AB28" s="67">
        <f t="shared" si="11"/>
        <v>111150</v>
      </c>
      <c r="AC28" s="67">
        <f t="shared" si="12"/>
        <v>74888849.25</v>
      </c>
    </row>
    <row r="29" spans="1:29" x14ac:dyDescent="0.3">
      <c r="A29" s="68">
        <v>38656</v>
      </c>
      <c r="B29" s="69"/>
      <c r="C29" s="69"/>
      <c r="D29" s="69"/>
      <c r="E29" s="69"/>
      <c r="F29" s="70">
        <f t="shared" si="3"/>
        <v>0</v>
      </c>
      <c r="G29" s="71">
        <f t="shared" si="4"/>
        <v>0</v>
      </c>
      <c r="H29" s="71">
        <f t="shared" si="0"/>
        <v>0</v>
      </c>
      <c r="I29" s="69"/>
      <c r="J29" s="71">
        <f t="shared" si="1"/>
        <v>0</v>
      </c>
      <c r="K29" s="71">
        <f t="shared" si="2"/>
        <v>0</v>
      </c>
      <c r="L29" s="69"/>
      <c r="M29" s="69"/>
      <c r="N29" s="71">
        <f t="shared" si="5"/>
        <v>0</v>
      </c>
      <c r="O29" s="69"/>
      <c r="P29" s="70">
        <f t="shared" si="6"/>
        <v>0</v>
      </c>
      <c r="Q29" s="41">
        <f t="shared" si="16"/>
        <v>45931</v>
      </c>
      <c r="R29" s="41">
        <f>Q29+30</f>
        <v>45961</v>
      </c>
      <c r="S29" s="41">
        <f t="shared" si="7"/>
        <v>45931</v>
      </c>
      <c r="T29" s="41">
        <f t="shared" si="8"/>
        <v>45961</v>
      </c>
      <c r="U29" s="73">
        <f t="shared" si="17"/>
        <v>30</v>
      </c>
      <c r="V29" s="73">
        <f t="shared" si="13"/>
        <v>300</v>
      </c>
      <c r="W29" s="67">
        <f t="shared" si="18"/>
        <v>0</v>
      </c>
      <c r="X29" s="67">
        <f t="shared" si="14"/>
        <v>0</v>
      </c>
      <c r="Y29" s="67">
        <f t="shared" si="9"/>
        <v>0</v>
      </c>
      <c r="Z29" s="67">
        <f t="shared" si="15"/>
        <v>0</v>
      </c>
      <c r="AA29" s="67">
        <f t="shared" si="10"/>
        <v>0</v>
      </c>
      <c r="AB29" s="67">
        <f t="shared" si="11"/>
        <v>123500</v>
      </c>
      <c r="AC29" s="67">
        <f t="shared" si="12"/>
        <v>83209832.5</v>
      </c>
    </row>
    <row r="30" spans="1:29" x14ac:dyDescent="0.3">
      <c r="A30" s="68">
        <v>38686</v>
      </c>
      <c r="B30" s="69"/>
      <c r="C30" s="69"/>
      <c r="D30" s="69"/>
      <c r="E30" s="69"/>
      <c r="F30" s="70">
        <f t="shared" si="3"/>
        <v>0</v>
      </c>
      <c r="G30" s="71">
        <f t="shared" si="4"/>
        <v>0</v>
      </c>
      <c r="H30" s="71">
        <f t="shared" si="0"/>
        <v>0</v>
      </c>
      <c r="I30" s="69"/>
      <c r="J30" s="71">
        <f t="shared" si="1"/>
        <v>0</v>
      </c>
      <c r="K30" s="71">
        <f t="shared" si="2"/>
        <v>0</v>
      </c>
      <c r="L30" s="69"/>
      <c r="M30" s="69"/>
      <c r="N30" s="71">
        <f t="shared" si="5"/>
        <v>0</v>
      </c>
      <c r="O30" s="69"/>
      <c r="P30" s="70">
        <f t="shared" si="6"/>
        <v>0</v>
      </c>
      <c r="Q30" s="41">
        <f t="shared" si="16"/>
        <v>45962</v>
      </c>
      <c r="R30" s="41">
        <f>Q30+29</f>
        <v>45991</v>
      </c>
      <c r="S30" s="41">
        <f t="shared" si="7"/>
        <v>45962</v>
      </c>
      <c r="T30" s="41">
        <f t="shared" si="8"/>
        <v>45991</v>
      </c>
      <c r="U30" s="73">
        <f t="shared" si="17"/>
        <v>30</v>
      </c>
      <c r="V30" s="73">
        <f t="shared" si="13"/>
        <v>330</v>
      </c>
      <c r="W30" s="67">
        <f t="shared" si="18"/>
        <v>0</v>
      </c>
      <c r="X30" s="67">
        <f t="shared" si="14"/>
        <v>0</v>
      </c>
      <c r="Y30" s="67">
        <f t="shared" si="9"/>
        <v>0</v>
      </c>
      <c r="Z30" s="67">
        <f t="shared" si="15"/>
        <v>0</v>
      </c>
      <c r="AA30" s="67">
        <f t="shared" si="10"/>
        <v>0</v>
      </c>
      <c r="AB30" s="67">
        <f t="shared" si="11"/>
        <v>135850</v>
      </c>
      <c r="AC30" s="67">
        <f t="shared" si="12"/>
        <v>91530815.750000015</v>
      </c>
    </row>
    <row r="31" spans="1:29" x14ac:dyDescent="0.3">
      <c r="A31" s="68">
        <v>38717</v>
      </c>
      <c r="B31" s="69"/>
      <c r="C31" s="69"/>
      <c r="D31" s="69"/>
      <c r="E31" s="69"/>
      <c r="F31" s="70">
        <f t="shared" si="3"/>
        <v>0</v>
      </c>
      <c r="G31" s="71">
        <f t="shared" si="4"/>
        <v>0</v>
      </c>
      <c r="H31" s="71">
        <f t="shared" si="0"/>
        <v>0</v>
      </c>
      <c r="I31" s="69"/>
      <c r="J31" s="71">
        <f t="shared" si="1"/>
        <v>0</v>
      </c>
      <c r="K31" s="71">
        <f t="shared" si="2"/>
        <v>0</v>
      </c>
      <c r="L31" s="69"/>
      <c r="M31" s="69"/>
      <c r="N31" s="71">
        <f t="shared" si="5"/>
        <v>0</v>
      </c>
      <c r="O31" s="69"/>
      <c r="P31" s="70">
        <f t="shared" si="6"/>
        <v>0</v>
      </c>
      <c r="Q31" s="41">
        <f t="shared" si="16"/>
        <v>45992</v>
      </c>
      <c r="R31" s="41">
        <f>Q31+30</f>
        <v>46022</v>
      </c>
      <c r="S31" s="41">
        <f t="shared" si="7"/>
        <v>45992</v>
      </c>
      <c r="T31" s="41">
        <f t="shared" si="8"/>
        <v>46022</v>
      </c>
      <c r="U31" s="73">
        <f t="shared" si="17"/>
        <v>30</v>
      </c>
      <c r="V31" s="73">
        <f t="shared" si="13"/>
        <v>360</v>
      </c>
      <c r="W31" s="67">
        <f t="shared" si="18"/>
        <v>0</v>
      </c>
      <c r="X31" s="67">
        <f t="shared" si="14"/>
        <v>0</v>
      </c>
      <c r="Y31" s="67">
        <f t="shared" si="9"/>
        <v>0</v>
      </c>
      <c r="Z31" s="67">
        <f t="shared" si="15"/>
        <v>0</v>
      </c>
      <c r="AA31" s="67">
        <f t="shared" si="10"/>
        <v>0</v>
      </c>
      <c r="AB31" s="67">
        <f t="shared" si="11"/>
        <v>148200</v>
      </c>
      <c r="AC31" s="67">
        <f t="shared" si="12"/>
        <v>99851799.000000015</v>
      </c>
    </row>
    <row r="32" spans="1:29" x14ac:dyDescent="0.3">
      <c r="A32" s="74" t="s">
        <v>20</v>
      </c>
      <c r="B32" s="69"/>
      <c r="C32" s="69"/>
      <c r="D32" s="69"/>
      <c r="E32" s="69"/>
      <c r="F32" s="70">
        <f t="shared" si="3"/>
        <v>0</v>
      </c>
      <c r="G32" s="71">
        <f t="shared" si="4"/>
        <v>0</v>
      </c>
      <c r="H32" s="71">
        <f t="shared" si="0"/>
        <v>0</v>
      </c>
      <c r="I32" s="69"/>
      <c r="J32" s="71">
        <f t="shared" si="1"/>
        <v>0</v>
      </c>
      <c r="K32" s="71">
        <f t="shared" si="2"/>
        <v>0</v>
      </c>
      <c r="L32" s="69"/>
      <c r="M32" s="69"/>
      <c r="N32" s="71">
        <f t="shared" si="5"/>
        <v>0</v>
      </c>
      <c r="O32" s="69"/>
      <c r="P32" s="70">
        <f t="shared" si="6"/>
        <v>0</v>
      </c>
      <c r="Q32" s="41"/>
      <c r="R32" s="41"/>
      <c r="U32" s="73">
        <f>IF(S32=0,0,DAYS360(S32,T32,1)+1)</f>
        <v>0</v>
      </c>
      <c r="V32" s="73">
        <f>V31+U32</f>
        <v>360</v>
      </c>
      <c r="W32" s="67">
        <f t="shared" si="18"/>
        <v>0</v>
      </c>
      <c r="X32" s="67">
        <f t="shared" si="14"/>
        <v>0</v>
      </c>
      <c r="Y32" s="67">
        <f t="shared" si="9"/>
        <v>0</v>
      </c>
      <c r="Z32" s="67">
        <f t="shared" si="15"/>
        <v>0</v>
      </c>
      <c r="AA32" s="67">
        <f t="shared" si="10"/>
        <v>0</v>
      </c>
      <c r="AB32" s="67">
        <f>ALVMAX/360*V32</f>
        <v>148200</v>
      </c>
      <c r="AC32" s="67">
        <f t="shared" si="12"/>
        <v>99851799.000000015</v>
      </c>
    </row>
    <row r="33" spans="1:29" x14ac:dyDescent="0.3">
      <c r="A33" s="75" t="s">
        <v>21</v>
      </c>
      <c r="B33" s="69"/>
      <c r="C33" s="69"/>
      <c r="D33" s="69"/>
      <c r="E33" s="69"/>
      <c r="F33" s="70">
        <f t="shared" si="3"/>
        <v>0</v>
      </c>
      <c r="G33" s="71">
        <f t="shared" si="4"/>
        <v>0</v>
      </c>
      <c r="H33" s="71">
        <f t="shared" si="0"/>
        <v>0</v>
      </c>
      <c r="I33" s="69"/>
      <c r="J33" s="71">
        <f t="shared" si="1"/>
        <v>0</v>
      </c>
      <c r="K33" s="71">
        <f t="shared" si="2"/>
        <v>0</v>
      </c>
      <c r="L33" s="69"/>
      <c r="M33" s="69"/>
      <c r="N33" s="71">
        <f t="shared" si="5"/>
        <v>0</v>
      </c>
      <c r="O33" s="69"/>
      <c r="P33" s="70">
        <f t="shared" si="6"/>
        <v>0</v>
      </c>
      <c r="Q33" s="41"/>
      <c r="R33" s="41"/>
      <c r="U33" s="73">
        <f>IF(S33=0,0,DAYS360(S33,T33,1)+1)</f>
        <v>0</v>
      </c>
      <c r="V33" s="73">
        <f>V32+U33</f>
        <v>360</v>
      </c>
      <c r="W33" s="67">
        <f t="shared" si="18"/>
        <v>0</v>
      </c>
      <c r="X33" s="67">
        <f t="shared" si="14"/>
        <v>0</v>
      </c>
      <c r="Y33" s="67">
        <f t="shared" si="9"/>
        <v>0</v>
      </c>
      <c r="Z33" s="67">
        <f t="shared" si="15"/>
        <v>0</v>
      </c>
      <c r="AA33" s="67">
        <f t="shared" si="10"/>
        <v>0</v>
      </c>
      <c r="AB33" s="67">
        <f>ALVMAX/360*V33</f>
        <v>148200</v>
      </c>
      <c r="AC33" s="67">
        <f t="shared" si="12"/>
        <v>99851799.000000015</v>
      </c>
    </row>
    <row r="34" spans="1:29" s="16" customFormat="1" x14ac:dyDescent="0.3">
      <c r="A34" s="63"/>
      <c r="B34" s="63"/>
      <c r="C34" s="63"/>
      <c r="D34" s="63"/>
      <c r="E34" s="63"/>
      <c r="F34" s="63"/>
      <c r="G34" s="66"/>
      <c r="H34" s="66"/>
      <c r="I34" s="63"/>
      <c r="J34" s="66"/>
      <c r="K34" s="66"/>
      <c r="L34" s="66"/>
      <c r="M34" s="66"/>
      <c r="N34" s="63"/>
      <c r="O34" s="63"/>
      <c r="P34" s="63"/>
      <c r="U34" s="76"/>
      <c r="V34" s="76"/>
      <c r="W34" s="76"/>
      <c r="X34" s="76"/>
      <c r="Y34" s="76"/>
      <c r="Z34" s="67"/>
    </row>
    <row r="35" spans="1:29" s="26" customFormat="1" ht="17.25" thickBot="1" x14ac:dyDescent="0.35">
      <c r="A35" s="77" t="s">
        <v>0</v>
      </c>
      <c r="B35" s="78">
        <f>SUM(B20:B33)</f>
        <v>0</v>
      </c>
      <c r="C35" s="78">
        <f t="shared" ref="C35:P35" si="19">SUM(C20:C33)</f>
        <v>0</v>
      </c>
      <c r="D35" s="78">
        <f t="shared" si="19"/>
        <v>0</v>
      </c>
      <c r="E35" s="78">
        <f t="shared" si="19"/>
        <v>0</v>
      </c>
      <c r="F35" s="78">
        <f t="shared" si="19"/>
        <v>0</v>
      </c>
      <c r="G35" s="78">
        <f t="shared" si="19"/>
        <v>0</v>
      </c>
      <c r="H35" s="78">
        <f t="shared" si="19"/>
        <v>0</v>
      </c>
      <c r="I35" s="78">
        <f t="shared" si="19"/>
        <v>0</v>
      </c>
      <c r="J35" s="78">
        <f t="shared" si="19"/>
        <v>0</v>
      </c>
      <c r="K35" s="78">
        <f t="shared" si="19"/>
        <v>0</v>
      </c>
      <c r="L35" s="78">
        <f t="shared" si="19"/>
        <v>0</v>
      </c>
      <c r="M35" s="78">
        <f t="shared" si="19"/>
        <v>0</v>
      </c>
      <c r="N35" s="78">
        <f t="shared" si="19"/>
        <v>0</v>
      </c>
      <c r="O35" s="78">
        <f t="shared" si="19"/>
        <v>0</v>
      </c>
      <c r="P35" s="78">
        <f t="shared" si="19"/>
        <v>0</v>
      </c>
      <c r="Q35" s="79"/>
      <c r="U35" s="80">
        <f>SUM(U20:U34)</f>
        <v>360</v>
      </c>
      <c r="V35" s="80"/>
      <c r="W35" s="67">
        <f>SUM(W20:W31)</f>
        <v>0</v>
      </c>
      <c r="X35" s="67">
        <f>SUM(X20:X31)</f>
        <v>0</v>
      </c>
      <c r="Y35" s="80"/>
      <c r="Z35" s="80"/>
    </row>
    <row r="36" spans="1:29" s="81" customFormat="1" ht="15.75" customHeight="1" thickTop="1" x14ac:dyDescent="0.15">
      <c r="B36" s="82"/>
      <c r="C36" s="82"/>
      <c r="D36" s="82"/>
      <c r="E36" s="82"/>
      <c r="F36" s="98" t="str">
        <f>IF(H36="","","Total AHV+ALV:")</f>
        <v/>
      </c>
      <c r="G36" s="98"/>
      <c r="H36" s="139" t="str">
        <f>IF(G35=0,"",G35+H35)</f>
        <v/>
      </c>
      <c r="I36" s="98" t="str">
        <f>IF(H36="","","Total AHV+ALV+NBU:")</f>
        <v/>
      </c>
      <c r="J36" s="98"/>
      <c r="K36" s="98"/>
      <c r="L36" s="139" t="str">
        <f>IF(G35=0,"",H36+J35)</f>
        <v/>
      </c>
      <c r="M36" s="82"/>
      <c r="N36" s="82"/>
      <c r="O36" s="82"/>
      <c r="P36" s="82"/>
      <c r="Q36" s="82"/>
      <c r="R36" s="82"/>
      <c r="V36" s="83"/>
      <c r="W36" s="83"/>
      <c r="X36" s="83"/>
      <c r="Y36" s="83"/>
      <c r="Z36" s="83"/>
      <c r="AA36" s="83"/>
    </row>
    <row r="37" spans="1:29" x14ac:dyDescent="0.3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29" x14ac:dyDescent="0.3">
      <c r="A38" s="26" t="s">
        <v>35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1:29" x14ac:dyDescent="0.3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28"/>
      <c r="R39" s="27"/>
      <c r="S39" s="41">
        <f>R31+1</f>
        <v>46023</v>
      </c>
    </row>
    <row r="40" spans="1:29" x14ac:dyDescent="0.3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28"/>
      <c r="R40" s="27"/>
    </row>
    <row r="41" spans="1:29" x14ac:dyDescent="0.3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28"/>
      <c r="R41" s="27"/>
    </row>
    <row r="42" spans="1:29" x14ac:dyDescent="0.3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28"/>
      <c r="R42" s="27"/>
    </row>
    <row r="43" spans="1:29" x14ac:dyDescent="0.3">
      <c r="A43" s="113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88"/>
      <c r="R43" s="27"/>
    </row>
    <row r="44" spans="1:29" x14ac:dyDescent="0.3">
      <c r="A44" s="113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28"/>
    </row>
    <row r="45" spans="1:29" x14ac:dyDescent="0.3">
      <c r="A45" s="113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28"/>
    </row>
    <row r="46" spans="1:29" x14ac:dyDescent="0.3">
      <c r="A46" s="113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28"/>
    </row>
    <row r="47" spans="1:29" x14ac:dyDescent="0.3">
      <c r="A47" s="113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28"/>
    </row>
    <row r="48" spans="1:29" x14ac:dyDescent="0.3">
      <c r="Q48" s="28"/>
    </row>
    <row r="50" spans="1:18" x14ac:dyDescent="0.3">
      <c r="A50" s="26"/>
      <c r="Q50" s="30"/>
    </row>
    <row r="51" spans="1:18" x14ac:dyDescent="0.3">
      <c r="A51" s="29"/>
      <c r="H51" s="84"/>
      <c r="Q51" s="30"/>
    </row>
    <row r="52" spans="1:18" x14ac:dyDescent="0.3">
      <c r="A52" s="31"/>
      <c r="Q52" s="85"/>
    </row>
    <row r="54" spans="1:18" x14ac:dyDescent="0.3">
      <c r="A54" s="26" t="s">
        <v>36</v>
      </c>
      <c r="Q54" s="27"/>
    </row>
    <row r="55" spans="1:18" x14ac:dyDescent="0.3">
      <c r="A55" s="113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28"/>
    </row>
    <row r="56" spans="1:18" s="1" customFormat="1" x14ac:dyDescent="0.3">
      <c r="A56" s="113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28"/>
    </row>
    <row r="57" spans="1:18" s="1" customFormat="1" x14ac:dyDescent="0.3">
      <c r="A57" s="113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28"/>
    </row>
    <row r="58" spans="1:18" x14ac:dyDescent="0.3">
      <c r="A58" s="113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28"/>
      <c r="R58" s="28"/>
    </row>
    <row r="59" spans="1:18" s="1" customFormat="1" x14ac:dyDescent="0.3">
      <c r="A59" s="113"/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28"/>
      <c r="R59" s="28"/>
    </row>
    <row r="60" spans="1:18" s="1" customFormat="1" x14ac:dyDescent="0.3">
      <c r="A60" s="113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28"/>
      <c r="R60" s="28"/>
    </row>
    <row r="61" spans="1:18" x14ac:dyDescent="0.3">
      <c r="A61" s="113"/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28"/>
      <c r="R61" s="28"/>
    </row>
    <row r="62" spans="1:18" s="1" customFormat="1" x14ac:dyDescent="0.3">
      <c r="A62" s="113"/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28"/>
      <c r="R62" s="28"/>
    </row>
    <row r="63" spans="1:18" s="1" customFormat="1" x14ac:dyDescent="0.3">
      <c r="A63" s="113"/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28"/>
      <c r="R63" s="28"/>
    </row>
    <row r="64" spans="1:18" x14ac:dyDescent="0.3">
      <c r="A64" s="113"/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28"/>
      <c r="R64" s="28"/>
    </row>
    <row r="65" spans="1:18" s="1" customFormat="1" x14ac:dyDescent="0.3">
      <c r="A65" s="113"/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28"/>
      <c r="R65" s="28"/>
    </row>
    <row r="66" spans="1:18" s="1" customFormat="1" x14ac:dyDescent="0.3">
      <c r="A66" s="113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28"/>
      <c r="R66" s="28"/>
    </row>
    <row r="67" spans="1:18" s="1" customFormat="1" x14ac:dyDescent="0.3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</row>
    <row r="68" spans="1:18" s="1" customFormat="1" x14ac:dyDescent="0.3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x14ac:dyDescent="0.3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</row>
    <row r="70" spans="1:18" x14ac:dyDescent="0.3">
      <c r="R70" s="28"/>
    </row>
  </sheetData>
  <sheetProtection algorithmName="SHA-512" hashValue="WzpJN7U2vwm0+MBk5wlb5l52ObmRADLA+Qmv1v0MtYjP7kueqzN+dmEuv8WlcvhuuCzkS+Y8sz882n41Xfe0Ew==" saltValue="ge19YRmgn/xI7IC4N1o5Zw==" spinCount="100000" sheet="1" objects="1" scenarios="1"/>
  <mergeCells count="52">
    <mergeCell ref="A16:A18"/>
    <mergeCell ref="B16:B18"/>
    <mergeCell ref="K16:K17"/>
    <mergeCell ref="C7:E7"/>
    <mergeCell ref="C10:D10"/>
    <mergeCell ref="C9:D9"/>
    <mergeCell ref="C12:D12"/>
    <mergeCell ref="D15:G15"/>
    <mergeCell ref="C16:C18"/>
    <mergeCell ref="D16:D18"/>
    <mergeCell ref="E16:E18"/>
    <mergeCell ref="H10:L10"/>
    <mergeCell ref="H4:I4"/>
    <mergeCell ref="C5:E5"/>
    <mergeCell ref="H5:I5"/>
    <mergeCell ref="C6:E6"/>
    <mergeCell ref="C4:E4"/>
    <mergeCell ref="S17:T17"/>
    <mergeCell ref="F36:G36"/>
    <mergeCell ref="I36:K36"/>
    <mergeCell ref="L16:L17"/>
    <mergeCell ref="M16:M17"/>
    <mergeCell ref="N16:N18"/>
    <mergeCell ref="O16:O18"/>
    <mergeCell ref="H16:H17"/>
    <mergeCell ref="F16:F18"/>
    <mergeCell ref="Q17:R17"/>
    <mergeCell ref="J16:J17"/>
    <mergeCell ref="I16:I18"/>
    <mergeCell ref="P16:P18"/>
    <mergeCell ref="G16:G17"/>
    <mergeCell ref="A39:P39"/>
    <mergeCell ref="A40:P40"/>
    <mergeCell ref="A41:P41"/>
    <mergeCell ref="A42:P42"/>
    <mergeCell ref="A43:P43"/>
    <mergeCell ref="A44:P44"/>
    <mergeCell ref="A45:P45"/>
    <mergeCell ref="A46:P46"/>
    <mergeCell ref="A47:P47"/>
    <mergeCell ref="A55:P55"/>
    <mergeCell ref="A56:P56"/>
    <mergeCell ref="A57:P57"/>
    <mergeCell ref="A58:P58"/>
    <mergeCell ref="A59:P59"/>
    <mergeCell ref="A60:P60"/>
    <mergeCell ref="A66:P66"/>
    <mergeCell ref="A61:P61"/>
    <mergeCell ref="A62:P62"/>
    <mergeCell ref="A63:P63"/>
    <mergeCell ref="A64:P64"/>
    <mergeCell ref="A65:P65"/>
  </mergeCells>
  <phoneticPr fontId="0" type="noConversion"/>
  <dataValidations count="1">
    <dataValidation type="textLength" operator="equal" allowBlank="1" showInputMessage="1" showErrorMessage="1" errorTitle="Bitte korrigieren:" error="m = männlich_x000a_w = weiblich" sqref="I7" xr:uid="{00000000-0002-0000-0300-000000000000}">
      <formula1>1</formula1>
    </dataValidation>
  </dataValidations>
  <printOptions horizontalCentered="1"/>
  <pageMargins left="1.0629921259842521" right="0.78740157480314965" top="0.59055118110236227" bottom="0.59055118110236227" header="0.51181102362204722" footer="0.31496062992125984"/>
  <pageSetup paperSize="9" scale="63" orientation="landscape" r:id="rId1"/>
  <headerFooter>
    <oddFooter>&amp;L&amp;G&amp;C&amp;"Segoe UI Semilight,Standard"&amp;K1D71B8Bern | Biel/Bienne&amp;R&amp;"Segoe UI Semilight,Standard"&amp;K1D71B8strasser-ag.ch</oddFooter>
  </headerFooter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AD70"/>
  <sheetViews>
    <sheetView showGridLines="0" zoomScale="90" zoomScaleNormal="90" workbookViewId="0">
      <selection activeCell="B20" sqref="B20"/>
    </sheetView>
  </sheetViews>
  <sheetFormatPr baseColWidth="10" defaultColWidth="11.28515625" defaultRowHeight="16.5" x14ac:dyDescent="0.3"/>
  <cols>
    <col min="1" max="1" width="16" style="25" customWidth="1"/>
    <col min="2" max="15" width="12.140625" style="25" customWidth="1"/>
    <col min="16" max="16" width="11.85546875" style="25" bestFit="1" customWidth="1"/>
    <col min="17" max="17" width="10.7109375" style="25" hidden="1" customWidth="1"/>
    <col min="18" max="18" width="11" style="25" hidden="1" customWidth="1"/>
    <col min="19" max="19" width="10.7109375" style="25" hidden="1" customWidth="1"/>
    <col min="20" max="20" width="11" style="25" hidden="1" customWidth="1"/>
    <col min="21" max="21" width="14.85546875" style="25" hidden="1" customWidth="1"/>
    <col min="22" max="22" width="14.28515625" style="25" hidden="1" customWidth="1"/>
    <col min="23" max="23" width="7.85546875" style="25" hidden="1" customWidth="1"/>
    <col min="24" max="24" width="9.85546875" style="25" hidden="1" customWidth="1"/>
    <col min="25" max="25" width="12.7109375" style="25" hidden="1" customWidth="1"/>
    <col min="26" max="26" width="14" style="25" hidden="1" customWidth="1"/>
    <col min="27" max="27" width="17.5703125" style="25" hidden="1" customWidth="1"/>
    <col min="28" max="28" width="11.5703125" style="25" hidden="1" customWidth="1"/>
    <col min="29" max="30" width="14.28515625" style="25" hidden="1" customWidth="1"/>
    <col min="31" max="31" width="11.28515625" style="25" customWidth="1"/>
    <col min="32" max="16384" width="11.28515625" style="25"/>
  </cols>
  <sheetData>
    <row r="1" spans="1:18" s="34" customFormat="1" ht="20.25" x14ac:dyDescent="0.35">
      <c r="A1" s="32" t="s">
        <v>42</v>
      </c>
      <c r="B1" s="33">
        <f>Jahr</f>
        <v>2025</v>
      </c>
      <c r="P1" s="35">
        <f>Firma</f>
        <v>0</v>
      </c>
    </row>
    <row r="2" spans="1:18" s="34" customFormat="1" ht="20.25" x14ac:dyDescent="0.35">
      <c r="E2" s="36"/>
      <c r="P2" s="35">
        <f>Ort</f>
        <v>0</v>
      </c>
    </row>
    <row r="3" spans="1:18" s="34" customFormat="1" x14ac:dyDescent="0.3">
      <c r="Q3" s="37"/>
    </row>
    <row r="4" spans="1:18" s="34" customFormat="1" x14ac:dyDescent="0.3">
      <c r="A4" s="38" t="s">
        <v>2</v>
      </c>
      <c r="C4" s="134"/>
      <c r="D4" s="134"/>
      <c r="E4" s="134"/>
      <c r="G4" s="39" t="s">
        <v>3</v>
      </c>
      <c r="H4" s="132"/>
      <c r="I4" s="132"/>
      <c r="J4" s="40" t="str">
        <f>IF(H4&gt;R31,"Achtung, ungültiges Datum"," ")</f>
        <v xml:space="preserve"> </v>
      </c>
      <c r="R4" s="41">
        <f>IF(H4&gt;Q20,H4,Q20)</f>
        <v>45658</v>
      </c>
    </row>
    <row r="5" spans="1:18" s="34" customFormat="1" x14ac:dyDescent="0.3">
      <c r="A5" s="38" t="s">
        <v>4</v>
      </c>
      <c r="C5" s="133"/>
      <c r="D5" s="133"/>
      <c r="E5" s="133"/>
      <c r="G5" s="39" t="s">
        <v>5</v>
      </c>
      <c r="H5" s="132"/>
      <c r="I5" s="132"/>
      <c r="J5" s="40" t="str">
        <f>IF(H5=0," ",IF(H5&lt;Q20,"Achtung, ungültiges Datum"," "))</f>
        <v xml:space="preserve"> </v>
      </c>
      <c r="R5" s="41">
        <f>IF(H5=0,R31,IF(H5&gt;R31,R31,H5))</f>
        <v>46022</v>
      </c>
    </row>
    <row r="6" spans="1:18" s="34" customFormat="1" ht="17.649999999999999" customHeight="1" x14ac:dyDescent="0.3">
      <c r="A6" s="38" t="s">
        <v>6</v>
      </c>
      <c r="C6" s="133"/>
      <c r="D6" s="133"/>
      <c r="E6" s="133"/>
      <c r="H6" s="42" t="str">
        <f>IF(H5&lt;H4,IF(H5="","","Achtung: Fehler Eintritt / Austritt"),"")</f>
        <v/>
      </c>
      <c r="I6" s="43"/>
    </row>
    <row r="7" spans="1:18" s="34" customFormat="1" ht="17.649999999999999" customHeight="1" x14ac:dyDescent="0.3">
      <c r="A7" s="38" t="s">
        <v>33</v>
      </c>
      <c r="C7" s="133"/>
      <c r="D7" s="133"/>
      <c r="E7" s="133"/>
      <c r="G7" s="39" t="s">
        <v>7</v>
      </c>
      <c r="I7" s="44"/>
      <c r="J7" s="45" t="str">
        <f>IF(E13=1,IF(I7="M","Achtung: Mitarbeiter wird pensioniert per:",IF(E13=1,"Achtung: Mitarbeiterin wird pensioniert per:","")),"")</f>
        <v/>
      </c>
      <c r="N7" s="46" t="str">
        <f>IF(E13=1,C14," ")</f>
        <v xml:space="preserve"> </v>
      </c>
      <c r="O7" s="46"/>
    </row>
    <row r="8" spans="1:18" s="34" customFormat="1" x14ac:dyDescent="0.3">
      <c r="A8" s="38"/>
      <c r="C8" s="42" t="str">
        <f>IF((B35+C35)&lt;&gt;0,IF(C4="","Achtung: Name, Vorname und Adresse eingeben!",""),"")</f>
        <v/>
      </c>
      <c r="D8" s="37"/>
      <c r="E8" s="37"/>
      <c r="I8" s="42" t="str">
        <f>IF((B35+C35)&lt;&gt;0,IF(I7="","Achtung: 'm' für männlich, 'w' für weiblich eingeben!",""),"")</f>
        <v/>
      </c>
      <c r="K8" s="43"/>
    </row>
    <row r="9" spans="1:18" s="34" customFormat="1" x14ac:dyDescent="0.3">
      <c r="A9" s="38" t="s">
        <v>54</v>
      </c>
      <c r="C9" s="135"/>
      <c r="D9" s="135"/>
      <c r="E9" s="47"/>
      <c r="F9" s="48" t="str">
        <f ca="1">IF(D13&gt;=1,"Referenzalter erreicht ab","")</f>
        <v/>
      </c>
      <c r="G9" s="49" t="str">
        <f ca="1">IF(D13=1,C14, " ")</f>
        <v xml:space="preserve"> </v>
      </c>
      <c r="H9" s="50" t="str">
        <f ca="1">IF(F9&gt;" ","AHV-Freibetrag von Fr. 1'400.-- pro Monat berücksichtigen! Kein ALV-Abzug mehr; Korrektur unter Spalte M oder N","")</f>
        <v/>
      </c>
      <c r="I9" s="1"/>
      <c r="J9" s="1"/>
      <c r="K9" s="1"/>
      <c r="L9" s="1"/>
      <c r="M9" s="1"/>
      <c r="N9" s="1"/>
      <c r="O9" s="1"/>
      <c r="P9" s="1"/>
      <c r="Q9" s="1"/>
    </row>
    <row r="10" spans="1:18" s="34" customFormat="1" x14ac:dyDescent="0.3">
      <c r="A10" s="38" t="s">
        <v>55</v>
      </c>
      <c r="C10" s="135"/>
      <c r="D10" s="135"/>
      <c r="E10" s="37"/>
      <c r="F10" s="45"/>
      <c r="G10" s="51"/>
      <c r="H10" s="137" t="str">
        <f ca="1">IF(H9&gt;" ","Mitarbeitende können neu freiwillig auf den AHV-Freibetrag verzichten","")</f>
        <v/>
      </c>
      <c r="I10" s="137"/>
      <c r="J10" s="137"/>
      <c r="K10" s="137"/>
      <c r="L10" s="137"/>
    </row>
    <row r="11" spans="1:18" s="34" customFormat="1" x14ac:dyDescent="0.3">
      <c r="A11" s="38"/>
      <c r="C11" s="52"/>
      <c r="D11" s="52"/>
      <c r="E11" s="45"/>
      <c r="F11" s="53" t="str">
        <f>IF(F13&lt;18,IF(C13&gt;0,"Achtung:",""),"")</f>
        <v/>
      </c>
      <c r="G11" s="51" t="str">
        <f>IF(F11&gt;" ","Angestellte Person ist unter 18 Jahre!","")</f>
        <v/>
      </c>
      <c r="P11" s="54"/>
    </row>
    <row r="12" spans="1:18" s="34" customFormat="1" x14ac:dyDescent="0.3">
      <c r="A12" s="38" t="s">
        <v>8</v>
      </c>
      <c r="C12" s="136"/>
      <c r="D12" s="136"/>
      <c r="E12" s="45"/>
      <c r="G12" s="51" t="str">
        <f>IF(F11&gt;" ","Lohn unter 'nicht AHV-pflichtig' eintragen und ALV manuell auf 0% stellen!","")</f>
        <v/>
      </c>
    </row>
    <row r="13" spans="1:18" s="34" customFormat="1" hidden="1" x14ac:dyDescent="0.3">
      <c r="A13" s="56" t="s">
        <v>62</v>
      </c>
      <c r="B13" s="57"/>
      <c r="C13" s="58" t="b">
        <f>IF($C$12&gt;0,IF(I7="W",EDATE($C$12,(12*64.33)),IF(I7="M",EDATE($C$12,65*12))))</f>
        <v>0</v>
      </c>
      <c r="D13" s="59">
        <f ca="1">IF(C14&gt;TODAY(),0,1)</f>
        <v>0</v>
      </c>
      <c r="E13" s="60">
        <f>IF(C14-($Q$20-1)&lt;365.25,IF(C14-($Q$20-1)&gt;0,1,0),0)</f>
        <v>0</v>
      </c>
      <c r="F13" s="34">
        <f>(R31-C12)/365.25</f>
        <v>126.00136892539356</v>
      </c>
    </row>
    <row r="14" spans="1:18" s="34" customFormat="1" hidden="1" x14ac:dyDescent="0.3">
      <c r="A14" s="56" t="s">
        <v>63</v>
      </c>
      <c r="B14" s="57"/>
      <c r="C14" s="61">
        <f>IFERROR(IF(I7="W",IF(C12&gt;22281,EOMONTH(C13,1),EOMONTH(C13,-2)),EOMONTH(C13,1)),DATE(2900,1,1))</f>
        <v>365245</v>
      </c>
      <c r="E14" s="60"/>
    </row>
    <row r="15" spans="1:18" s="34" customFormat="1" x14ac:dyDescent="0.3">
      <c r="A15" s="37"/>
      <c r="D15" s="130" t="s">
        <v>41</v>
      </c>
      <c r="E15" s="130"/>
      <c r="F15" s="130"/>
      <c r="G15" s="131"/>
      <c r="H15" s="62"/>
      <c r="I15" s="63"/>
      <c r="J15" s="62"/>
      <c r="K15" s="62"/>
    </row>
    <row r="16" spans="1:18" s="16" customFormat="1" ht="12.75" customHeight="1" x14ac:dyDescent="0.25">
      <c r="A16" s="117" t="s">
        <v>9</v>
      </c>
      <c r="B16" s="117" t="str">
        <f>Zusammenstellung!C21</f>
        <v>AHV-Lohn</v>
      </c>
      <c r="C16" s="117" t="str">
        <f>Zusammenstellung!D21</f>
        <v>nicht AHV-pflichtig</v>
      </c>
      <c r="D16" s="117" t="str">
        <f>Zusammenstellung!E21</f>
        <v>Unfall- und
Kranken-
taggeld</v>
      </c>
      <c r="E16" s="117" t="str">
        <f>Zusammenstellung!F21</f>
        <v>Kinder-
zulagen</v>
      </c>
      <c r="F16" s="117" t="str">
        <f>Zusammenstellung!G21</f>
        <v>Total Bruttolohn</v>
      </c>
      <c r="G16" s="128" t="str">
        <f>Zusammenstellung!H21</f>
        <v>AHV</v>
      </c>
      <c r="H16" s="128" t="str">
        <f>Zusammenstellung!I21</f>
        <v>ALV</v>
      </c>
      <c r="I16" s="117" t="str">
        <f>Zusammenstellung!J21</f>
        <v>BVG</v>
      </c>
      <c r="J16" s="128" t="str">
        <f>Zusammenstellung!K21</f>
        <v>NBU</v>
      </c>
      <c r="K16" s="128" t="str">
        <f>Zusammenstellung!L21</f>
        <v>KTG</v>
      </c>
      <c r="L16" s="120"/>
      <c r="M16" s="120"/>
      <c r="N16" s="117" t="str">
        <f>Zusammenstellung!O21</f>
        <v>Nettolohn</v>
      </c>
      <c r="O16" s="117" t="str">
        <f>Zusammenstellung!P21</f>
        <v xml:space="preserve">Spesen </v>
      </c>
      <c r="P16" s="117" t="str">
        <f>Zusammenstellung!Q21</f>
        <v>Auszahlung</v>
      </c>
    </row>
    <row r="17" spans="1:29" s="16" customFormat="1" ht="14.25" x14ac:dyDescent="0.25">
      <c r="A17" s="118"/>
      <c r="B17" s="118"/>
      <c r="C17" s="118"/>
      <c r="D17" s="118"/>
      <c r="E17" s="118"/>
      <c r="F17" s="118"/>
      <c r="G17" s="129"/>
      <c r="H17" s="129"/>
      <c r="I17" s="118"/>
      <c r="J17" s="129"/>
      <c r="K17" s="129"/>
      <c r="L17" s="121"/>
      <c r="M17" s="121"/>
      <c r="N17" s="118"/>
      <c r="O17" s="118"/>
      <c r="P17" s="118"/>
      <c r="Q17" s="115" t="s">
        <v>9</v>
      </c>
      <c r="R17" s="116"/>
      <c r="S17" s="116" t="s">
        <v>45</v>
      </c>
      <c r="T17" s="116"/>
      <c r="U17" s="16" t="s">
        <v>46</v>
      </c>
      <c r="V17" s="16" t="s">
        <v>47</v>
      </c>
      <c r="W17" s="16" t="s">
        <v>50</v>
      </c>
      <c r="X17" s="16" t="s">
        <v>60</v>
      </c>
      <c r="Y17" s="16" t="s">
        <v>51</v>
      </c>
      <c r="Z17" s="16" t="s">
        <v>61</v>
      </c>
      <c r="AA17" s="16" t="s">
        <v>49</v>
      </c>
      <c r="AB17" s="16" t="s">
        <v>48</v>
      </c>
      <c r="AC17" s="16" t="s">
        <v>59</v>
      </c>
    </row>
    <row r="18" spans="1:29" s="16" customFormat="1" ht="14.25" x14ac:dyDescent="0.2">
      <c r="A18" s="119"/>
      <c r="B18" s="119"/>
      <c r="C18" s="119"/>
      <c r="D18" s="119"/>
      <c r="E18" s="119"/>
      <c r="F18" s="119"/>
      <c r="G18" s="64">
        <f>AHV</f>
        <v>5.2999999999999999E-2</v>
      </c>
      <c r="H18" s="64">
        <f>IF(H15="",ALV,H15)</f>
        <v>1.0999999999999999E-2</v>
      </c>
      <c r="I18" s="119"/>
      <c r="J18" s="64">
        <f>IF(J15="",NBU,J15)</f>
        <v>1.4E-2</v>
      </c>
      <c r="K18" s="64">
        <f>IF(K15="",IF(I7="w",KTGW,KTG),K15)</f>
        <v>0.01</v>
      </c>
      <c r="L18" s="17"/>
      <c r="M18" s="17"/>
      <c r="N18" s="119"/>
      <c r="O18" s="119"/>
      <c r="P18" s="119"/>
      <c r="Q18" s="65" t="s">
        <v>43</v>
      </c>
      <c r="R18" s="65" t="s">
        <v>44</v>
      </c>
      <c r="S18" s="65" t="s">
        <v>43</v>
      </c>
      <c r="T18" s="65" t="s">
        <v>44</v>
      </c>
    </row>
    <row r="19" spans="1:29" s="16" customFormat="1" x14ac:dyDescent="0.3">
      <c r="A19" s="63"/>
      <c r="B19" s="63"/>
      <c r="C19" s="63"/>
      <c r="D19" s="63"/>
      <c r="E19" s="63"/>
      <c r="F19" s="63"/>
      <c r="G19" s="66"/>
      <c r="H19" s="66"/>
      <c r="I19" s="63"/>
      <c r="J19" s="66"/>
      <c r="K19" s="66"/>
      <c r="L19" s="66"/>
      <c r="M19" s="66"/>
      <c r="N19" s="63"/>
      <c r="O19" s="63"/>
      <c r="P19" s="63"/>
      <c r="Z19" s="67"/>
    </row>
    <row r="20" spans="1:29" x14ac:dyDescent="0.3">
      <c r="A20" s="68">
        <v>38383</v>
      </c>
      <c r="B20" s="69"/>
      <c r="C20" s="69"/>
      <c r="D20" s="69"/>
      <c r="E20" s="69"/>
      <c r="F20" s="70">
        <f t="shared" ref="F20:F33" si="0">SUM(B20:E20)</f>
        <v>0</v>
      </c>
      <c r="G20" s="71">
        <f>ROUND($B20*G$18/5,2)*5</f>
        <v>0</v>
      </c>
      <c r="H20" s="71">
        <f t="shared" ref="H20:H33" si="1">ROUND(W20*$H$18/5,2)*5</f>
        <v>0</v>
      </c>
      <c r="I20" s="69"/>
      <c r="J20" s="71">
        <f t="shared" ref="J20:J33" si="2">ROUND(W20*$J$18/5,2)*5</f>
        <v>0</v>
      </c>
      <c r="K20" s="71">
        <f t="shared" ref="K20:K33" si="3">ROUND(($B20+$C20)*K$18/5,2)*5</f>
        <v>0</v>
      </c>
      <c r="L20" s="69"/>
      <c r="M20" s="69"/>
      <c r="N20" s="71">
        <f>F20-G20-H20-J20-K20-L20-M20-I20</f>
        <v>0</v>
      </c>
      <c r="O20" s="69"/>
      <c r="P20" s="70">
        <f t="shared" ref="P20:P33" si="4">N20+O20</f>
        <v>0</v>
      </c>
      <c r="Q20" s="72">
        <v>45658</v>
      </c>
      <c r="R20" s="41">
        <f>Q20+30</f>
        <v>45688</v>
      </c>
      <c r="S20" s="41">
        <f t="shared" ref="S20:S31" si="5">IF($R$4&gt;R20,0,IF($R$4&gt;Q20,$R$4,Q20))</f>
        <v>45658</v>
      </c>
      <c r="T20" s="41">
        <f t="shared" ref="T20:T31" si="6">IF(S20=0,0,IF($R$5&gt;R20,R20,IF(S20&gt;$R$5,(S20)-1,$R$5)))</f>
        <v>45688</v>
      </c>
      <c r="U20" s="73">
        <f>IF(S20=0,0,DAYS360(S20,T20,1)+1)</f>
        <v>30</v>
      </c>
      <c r="V20" s="73">
        <f>U20</f>
        <v>30</v>
      </c>
      <c r="W20" s="67">
        <f>IF(AA20&gt;AB20,AB20-Y19,AA20-Y19)</f>
        <v>0</v>
      </c>
      <c r="X20" s="67">
        <f>IF(AA20&lt;(AB20),0,IF(AA20&gt;(AB20+AC20),AC20-Z19,AA20-Z19-AB20))</f>
        <v>0</v>
      </c>
      <c r="Y20" s="67">
        <f>W20</f>
        <v>0</v>
      </c>
      <c r="Z20" s="67">
        <f>X20</f>
        <v>0</v>
      </c>
      <c r="AA20" s="67">
        <f>B20+C20</f>
        <v>0</v>
      </c>
      <c r="AB20" s="67">
        <f t="shared" ref="AB20:AB33" si="7">ALVMAX/360*V20</f>
        <v>12350</v>
      </c>
      <c r="AC20" s="67">
        <f>(ALVMAX2/360*V20)-AB20</f>
        <v>8320983.2500000009</v>
      </c>
    </row>
    <row r="21" spans="1:29" x14ac:dyDescent="0.3">
      <c r="A21" s="68">
        <v>38411</v>
      </c>
      <c r="B21" s="69"/>
      <c r="C21" s="69"/>
      <c r="D21" s="69"/>
      <c r="E21" s="69"/>
      <c r="F21" s="70">
        <f t="shared" si="0"/>
        <v>0</v>
      </c>
      <c r="G21" s="71">
        <f t="shared" ref="G21:G33" si="8">ROUND(B21*$G$18/5,2)*5</f>
        <v>0</v>
      </c>
      <c r="H21" s="71">
        <f t="shared" si="1"/>
        <v>0</v>
      </c>
      <c r="I21" s="69"/>
      <c r="J21" s="71">
        <f t="shared" si="2"/>
        <v>0</v>
      </c>
      <c r="K21" s="71">
        <f t="shared" si="3"/>
        <v>0</v>
      </c>
      <c r="L21" s="69"/>
      <c r="M21" s="69"/>
      <c r="N21" s="71">
        <f t="shared" ref="N21:N33" si="9">F21-G21-H21-J21-K21-L21-M21-I21</f>
        <v>0</v>
      </c>
      <c r="O21" s="69"/>
      <c r="P21" s="70">
        <f t="shared" si="4"/>
        <v>0</v>
      </c>
      <c r="Q21" s="41">
        <f t="shared" ref="Q21:Q31" si="10">R20+1</f>
        <v>45689</v>
      </c>
      <c r="R21" s="72">
        <v>45716</v>
      </c>
      <c r="S21" s="41">
        <f t="shared" si="5"/>
        <v>45689</v>
      </c>
      <c r="T21" s="41">
        <f t="shared" si="6"/>
        <v>45716</v>
      </c>
      <c r="U21" s="73">
        <f>IF(S21=0,0,IF(R21=T21,DAYS360(S21,T21,1)+3,DAYS360(S21,T21,1)+1))</f>
        <v>30</v>
      </c>
      <c r="V21" s="73">
        <f t="shared" ref="V21:V33" si="11">V20+U21</f>
        <v>60</v>
      </c>
      <c r="W21" s="67">
        <f>IF(AA21&gt;AB21,AB21-Y20,AA21-Y20)</f>
        <v>0</v>
      </c>
      <c r="X21" s="67">
        <f>IF(AA21&lt;(AB21),0,IF(AA21&gt;(AB21+AC21),AC21-Z20,AA21-Z20-AB21))</f>
        <v>0</v>
      </c>
      <c r="Y21" s="67">
        <f t="shared" ref="Y21:Y33" si="12">Y20+W21</f>
        <v>0</v>
      </c>
      <c r="Z21" s="67">
        <f>X21+Z20</f>
        <v>0</v>
      </c>
      <c r="AA21" s="67">
        <f t="shared" ref="AA21:AA33" si="13">AA20+B21+C21</f>
        <v>0</v>
      </c>
      <c r="AB21" s="67">
        <f t="shared" si="7"/>
        <v>24700</v>
      </c>
      <c r="AC21" s="67">
        <f t="shared" ref="AC21:AC33" si="14">(ALVMAX2/360*V21)-AB21</f>
        <v>16641966.500000002</v>
      </c>
    </row>
    <row r="22" spans="1:29" x14ac:dyDescent="0.3">
      <c r="A22" s="68">
        <v>38442</v>
      </c>
      <c r="B22" s="69"/>
      <c r="C22" s="69"/>
      <c r="D22" s="69"/>
      <c r="E22" s="69"/>
      <c r="F22" s="70">
        <f t="shared" si="0"/>
        <v>0</v>
      </c>
      <c r="G22" s="71">
        <f t="shared" si="8"/>
        <v>0</v>
      </c>
      <c r="H22" s="71">
        <f t="shared" si="1"/>
        <v>0</v>
      </c>
      <c r="I22" s="69"/>
      <c r="J22" s="71">
        <f t="shared" si="2"/>
        <v>0</v>
      </c>
      <c r="K22" s="71">
        <f t="shared" si="3"/>
        <v>0</v>
      </c>
      <c r="L22" s="69"/>
      <c r="M22" s="69"/>
      <c r="N22" s="71">
        <f t="shared" si="9"/>
        <v>0</v>
      </c>
      <c r="O22" s="69"/>
      <c r="P22" s="70">
        <f t="shared" si="4"/>
        <v>0</v>
      </c>
      <c r="Q22" s="41">
        <f>R21+1</f>
        <v>45717</v>
      </c>
      <c r="R22" s="41">
        <f>Q22+30</f>
        <v>45747</v>
      </c>
      <c r="S22" s="41">
        <f t="shared" si="5"/>
        <v>45717</v>
      </c>
      <c r="T22" s="41">
        <f t="shared" si="6"/>
        <v>45747</v>
      </c>
      <c r="U22" s="73">
        <f>IF(S22=0,0,IF(T22=R21,DAYS360(S22,T22,1)+3,DAYS360(S22,T22,1)+1))</f>
        <v>30</v>
      </c>
      <c r="V22" s="73">
        <f t="shared" si="11"/>
        <v>90</v>
      </c>
      <c r="W22" s="67">
        <f>IF(AA22&gt;AB22,AB22-Y21,AA22-Y21)</f>
        <v>0</v>
      </c>
      <c r="X22" s="67">
        <f t="shared" ref="X22:X33" si="15">IF(AA22&lt;(AB22),0,IF(AA22&gt;(AB22+AC22),AC22-Z21,AA22-Z21-AB22))</f>
        <v>0</v>
      </c>
      <c r="Y22" s="67">
        <f t="shared" si="12"/>
        <v>0</v>
      </c>
      <c r="Z22" s="67">
        <f t="shared" ref="Z22:Z33" si="16">X22+Z21</f>
        <v>0</v>
      </c>
      <c r="AA22" s="67">
        <f t="shared" si="13"/>
        <v>0</v>
      </c>
      <c r="AB22" s="67">
        <f t="shared" si="7"/>
        <v>37050</v>
      </c>
      <c r="AC22" s="67">
        <f t="shared" si="14"/>
        <v>24962949.750000004</v>
      </c>
    </row>
    <row r="23" spans="1:29" x14ac:dyDescent="0.3">
      <c r="A23" s="68">
        <v>38472</v>
      </c>
      <c r="B23" s="69"/>
      <c r="C23" s="69"/>
      <c r="D23" s="69"/>
      <c r="E23" s="69"/>
      <c r="F23" s="70">
        <f t="shared" si="0"/>
        <v>0</v>
      </c>
      <c r="G23" s="71">
        <f t="shared" si="8"/>
        <v>0</v>
      </c>
      <c r="H23" s="71">
        <f t="shared" si="1"/>
        <v>0</v>
      </c>
      <c r="I23" s="69"/>
      <c r="J23" s="71">
        <f t="shared" si="2"/>
        <v>0</v>
      </c>
      <c r="K23" s="71">
        <f t="shared" si="3"/>
        <v>0</v>
      </c>
      <c r="L23" s="69"/>
      <c r="M23" s="69"/>
      <c r="N23" s="71">
        <f t="shared" si="9"/>
        <v>0</v>
      </c>
      <c r="O23" s="69"/>
      <c r="P23" s="70">
        <f t="shared" si="4"/>
        <v>0</v>
      </c>
      <c r="Q23" s="41">
        <f t="shared" si="10"/>
        <v>45748</v>
      </c>
      <c r="R23" s="41">
        <f>Q23+29</f>
        <v>45777</v>
      </c>
      <c r="S23" s="41">
        <f t="shared" si="5"/>
        <v>45748</v>
      </c>
      <c r="T23" s="41">
        <f t="shared" si="6"/>
        <v>45777</v>
      </c>
      <c r="U23" s="73">
        <f t="shared" ref="U23:U31" si="17">IF(S23=0,0,DAYS360(S23,T23,1)+1)</f>
        <v>30</v>
      </c>
      <c r="V23" s="73">
        <f t="shared" si="11"/>
        <v>120</v>
      </c>
      <c r="W23" s="67">
        <f t="shared" ref="W23:W33" si="18">IF(AA23&gt;AB23,AB23-Y22,AA23-Y22)</f>
        <v>0</v>
      </c>
      <c r="X23" s="67">
        <f t="shared" si="15"/>
        <v>0</v>
      </c>
      <c r="Y23" s="67">
        <f t="shared" si="12"/>
        <v>0</v>
      </c>
      <c r="Z23" s="67">
        <f t="shared" si="16"/>
        <v>0</v>
      </c>
      <c r="AA23" s="67">
        <f t="shared" si="13"/>
        <v>0</v>
      </c>
      <c r="AB23" s="67">
        <f t="shared" si="7"/>
        <v>49400</v>
      </c>
      <c r="AC23" s="67">
        <f t="shared" si="14"/>
        <v>33283933.000000004</v>
      </c>
    </row>
    <row r="24" spans="1:29" x14ac:dyDescent="0.3">
      <c r="A24" s="68">
        <v>38503</v>
      </c>
      <c r="B24" s="69"/>
      <c r="C24" s="69"/>
      <c r="D24" s="69"/>
      <c r="E24" s="69"/>
      <c r="F24" s="70">
        <f t="shared" si="0"/>
        <v>0</v>
      </c>
      <c r="G24" s="71">
        <f t="shared" si="8"/>
        <v>0</v>
      </c>
      <c r="H24" s="71">
        <f t="shared" si="1"/>
        <v>0</v>
      </c>
      <c r="I24" s="69"/>
      <c r="J24" s="71">
        <f t="shared" si="2"/>
        <v>0</v>
      </c>
      <c r="K24" s="71">
        <f t="shared" si="3"/>
        <v>0</v>
      </c>
      <c r="L24" s="69"/>
      <c r="M24" s="69"/>
      <c r="N24" s="71">
        <f t="shared" si="9"/>
        <v>0</v>
      </c>
      <c r="O24" s="69"/>
      <c r="P24" s="70">
        <f t="shared" si="4"/>
        <v>0</v>
      </c>
      <c r="Q24" s="41">
        <f t="shared" si="10"/>
        <v>45778</v>
      </c>
      <c r="R24" s="41">
        <f>Q24+30</f>
        <v>45808</v>
      </c>
      <c r="S24" s="41">
        <f t="shared" si="5"/>
        <v>45778</v>
      </c>
      <c r="T24" s="41">
        <f t="shared" si="6"/>
        <v>45808</v>
      </c>
      <c r="U24" s="73">
        <f t="shared" si="17"/>
        <v>30</v>
      </c>
      <c r="V24" s="73">
        <f t="shared" si="11"/>
        <v>150</v>
      </c>
      <c r="W24" s="67">
        <f t="shared" si="18"/>
        <v>0</v>
      </c>
      <c r="X24" s="67">
        <f t="shared" si="15"/>
        <v>0</v>
      </c>
      <c r="Y24" s="67">
        <f t="shared" si="12"/>
        <v>0</v>
      </c>
      <c r="Z24" s="67">
        <f t="shared" si="16"/>
        <v>0</v>
      </c>
      <c r="AA24" s="67">
        <f t="shared" si="13"/>
        <v>0</v>
      </c>
      <c r="AB24" s="67">
        <f t="shared" si="7"/>
        <v>61750</v>
      </c>
      <c r="AC24" s="67">
        <f t="shared" si="14"/>
        <v>41604916.25</v>
      </c>
    </row>
    <row r="25" spans="1:29" x14ac:dyDescent="0.3">
      <c r="A25" s="68">
        <v>38533</v>
      </c>
      <c r="B25" s="69"/>
      <c r="C25" s="69"/>
      <c r="D25" s="69"/>
      <c r="E25" s="69"/>
      <c r="F25" s="70">
        <f t="shared" si="0"/>
        <v>0</v>
      </c>
      <c r="G25" s="71">
        <f t="shared" si="8"/>
        <v>0</v>
      </c>
      <c r="H25" s="71">
        <f t="shared" si="1"/>
        <v>0</v>
      </c>
      <c r="I25" s="69"/>
      <c r="J25" s="71">
        <f t="shared" si="2"/>
        <v>0</v>
      </c>
      <c r="K25" s="71">
        <f t="shared" si="3"/>
        <v>0</v>
      </c>
      <c r="L25" s="69"/>
      <c r="M25" s="69"/>
      <c r="N25" s="71">
        <f t="shared" si="9"/>
        <v>0</v>
      </c>
      <c r="O25" s="69"/>
      <c r="P25" s="70">
        <f t="shared" si="4"/>
        <v>0</v>
      </c>
      <c r="Q25" s="41">
        <f t="shared" si="10"/>
        <v>45809</v>
      </c>
      <c r="R25" s="41">
        <f>Q25+29</f>
        <v>45838</v>
      </c>
      <c r="S25" s="41">
        <f t="shared" si="5"/>
        <v>45809</v>
      </c>
      <c r="T25" s="41">
        <f t="shared" si="6"/>
        <v>45838</v>
      </c>
      <c r="U25" s="73">
        <f t="shared" si="17"/>
        <v>30</v>
      </c>
      <c r="V25" s="73">
        <f t="shared" si="11"/>
        <v>180</v>
      </c>
      <c r="W25" s="67">
        <f t="shared" si="18"/>
        <v>0</v>
      </c>
      <c r="X25" s="67">
        <f t="shared" si="15"/>
        <v>0</v>
      </c>
      <c r="Y25" s="67">
        <f t="shared" si="12"/>
        <v>0</v>
      </c>
      <c r="Z25" s="67">
        <f t="shared" si="16"/>
        <v>0</v>
      </c>
      <c r="AA25" s="67">
        <f t="shared" si="13"/>
        <v>0</v>
      </c>
      <c r="AB25" s="67">
        <f t="shared" si="7"/>
        <v>74100</v>
      </c>
      <c r="AC25" s="67">
        <f t="shared" si="14"/>
        <v>49925899.500000007</v>
      </c>
    </row>
    <row r="26" spans="1:29" x14ac:dyDescent="0.3">
      <c r="A26" s="68">
        <v>38564</v>
      </c>
      <c r="B26" s="69"/>
      <c r="C26" s="69"/>
      <c r="D26" s="69"/>
      <c r="E26" s="69"/>
      <c r="F26" s="70">
        <f t="shared" si="0"/>
        <v>0</v>
      </c>
      <c r="G26" s="71">
        <f t="shared" si="8"/>
        <v>0</v>
      </c>
      <c r="H26" s="71">
        <f t="shared" si="1"/>
        <v>0</v>
      </c>
      <c r="I26" s="69"/>
      <c r="J26" s="71">
        <f t="shared" si="2"/>
        <v>0</v>
      </c>
      <c r="K26" s="71">
        <f t="shared" si="3"/>
        <v>0</v>
      </c>
      <c r="L26" s="69"/>
      <c r="M26" s="69"/>
      <c r="N26" s="71">
        <f t="shared" si="9"/>
        <v>0</v>
      </c>
      <c r="O26" s="69"/>
      <c r="P26" s="70">
        <f t="shared" si="4"/>
        <v>0</v>
      </c>
      <c r="Q26" s="41">
        <f t="shared" si="10"/>
        <v>45839</v>
      </c>
      <c r="R26" s="41">
        <f>Q26+30</f>
        <v>45869</v>
      </c>
      <c r="S26" s="41">
        <f t="shared" si="5"/>
        <v>45839</v>
      </c>
      <c r="T26" s="41">
        <f t="shared" si="6"/>
        <v>45869</v>
      </c>
      <c r="U26" s="73">
        <f t="shared" si="17"/>
        <v>30</v>
      </c>
      <c r="V26" s="73">
        <f t="shared" si="11"/>
        <v>210</v>
      </c>
      <c r="W26" s="67">
        <f t="shared" si="18"/>
        <v>0</v>
      </c>
      <c r="X26" s="67">
        <f t="shared" si="15"/>
        <v>0</v>
      </c>
      <c r="Y26" s="67">
        <f t="shared" si="12"/>
        <v>0</v>
      </c>
      <c r="Z26" s="67">
        <f t="shared" si="16"/>
        <v>0</v>
      </c>
      <c r="AA26" s="67">
        <f t="shared" si="13"/>
        <v>0</v>
      </c>
      <c r="AB26" s="67">
        <f t="shared" si="7"/>
        <v>86450</v>
      </c>
      <c r="AC26" s="67">
        <f t="shared" si="14"/>
        <v>58246882.750000007</v>
      </c>
    </row>
    <row r="27" spans="1:29" x14ac:dyDescent="0.3">
      <c r="A27" s="68">
        <v>38595</v>
      </c>
      <c r="B27" s="69"/>
      <c r="C27" s="69"/>
      <c r="D27" s="69"/>
      <c r="E27" s="69"/>
      <c r="F27" s="70">
        <f t="shared" si="0"/>
        <v>0</v>
      </c>
      <c r="G27" s="71">
        <f t="shared" si="8"/>
        <v>0</v>
      </c>
      <c r="H27" s="71">
        <f t="shared" si="1"/>
        <v>0</v>
      </c>
      <c r="I27" s="69"/>
      <c r="J27" s="71">
        <f t="shared" si="2"/>
        <v>0</v>
      </c>
      <c r="K27" s="71">
        <f t="shared" si="3"/>
        <v>0</v>
      </c>
      <c r="L27" s="69"/>
      <c r="M27" s="69"/>
      <c r="N27" s="71">
        <f t="shared" si="9"/>
        <v>0</v>
      </c>
      <c r="O27" s="69"/>
      <c r="P27" s="70">
        <f t="shared" si="4"/>
        <v>0</v>
      </c>
      <c r="Q27" s="41">
        <f t="shared" si="10"/>
        <v>45870</v>
      </c>
      <c r="R27" s="41">
        <f>Q27+30</f>
        <v>45900</v>
      </c>
      <c r="S27" s="41">
        <f t="shared" si="5"/>
        <v>45870</v>
      </c>
      <c r="T27" s="41">
        <f t="shared" si="6"/>
        <v>45900</v>
      </c>
      <c r="U27" s="73">
        <f t="shared" si="17"/>
        <v>30</v>
      </c>
      <c r="V27" s="73">
        <f t="shared" si="11"/>
        <v>240</v>
      </c>
      <c r="W27" s="67">
        <f t="shared" si="18"/>
        <v>0</v>
      </c>
      <c r="X27" s="67">
        <f t="shared" si="15"/>
        <v>0</v>
      </c>
      <c r="Y27" s="67">
        <f t="shared" si="12"/>
        <v>0</v>
      </c>
      <c r="Z27" s="67">
        <f t="shared" si="16"/>
        <v>0</v>
      </c>
      <c r="AA27" s="67">
        <f t="shared" si="13"/>
        <v>0</v>
      </c>
      <c r="AB27" s="67">
        <f t="shared" si="7"/>
        <v>98800</v>
      </c>
      <c r="AC27" s="67">
        <f t="shared" si="14"/>
        <v>66567866.000000007</v>
      </c>
    </row>
    <row r="28" spans="1:29" x14ac:dyDescent="0.3">
      <c r="A28" s="68">
        <v>38625</v>
      </c>
      <c r="B28" s="69"/>
      <c r="C28" s="69"/>
      <c r="D28" s="69"/>
      <c r="E28" s="69"/>
      <c r="F28" s="70">
        <f t="shared" si="0"/>
        <v>0</v>
      </c>
      <c r="G28" s="71">
        <f t="shared" si="8"/>
        <v>0</v>
      </c>
      <c r="H28" s="71">
        <f t="shared" si="1"/>
        <v>0</v>
      </c>
      <c r="I28" s="69"/>
      <c r="J28" s="71">
        <f t="shared" si="2"/>
        <v>0</v>
      </c>
      <c r="K28" s="71">
        <f t="shared" si="3"/>
        <v>0</v>
      </c>
      <c r="L28" s="69"/>
      <c r="M28" s="69"/>
      <c r="N28" s="71">
        <f t="shared" si="9"/>
        <v>0</v>
      </c>
      <c r="O28" s="69"/>
      <c r="P28" s="70">
        <f t="shared" si="4"/>
        <v>0</v>
      </c>
      <c r="Q28" s="41">
        <f t="shared" si="10"/>
        <v>45901</v>
      </c>
      <c r="R28" s="41">
        <f>Q28+29</f>
        <v>45930</v>
      </c>
      <c r="S28" s="41">
        <f t="shared" si="5"/>
        <v>45901</v>
      </c>
      <c r="T28" s="41">
        <f t="shared" si="6"/>
        <v>45930</v>
      </c>
      <c r="U28" s="73">
        <f t="shared" si="17"/>
        <v>30</v>
      </c>
      <c r="V28" s="73">
        <f t="shared" si="11"/>
        <v>270</v>
      </c>
      <c r="W28" s="67">
        <f t="shared" si="18"/>
        <v>0</v>
      </c>
      <c r="X28" s="67">
        <f t="shared" si="15"/>
        <v>0</v>
      </c>
      <c r="Y28" s="67">
        <f t="shared" si="12"/>
        <v>0</v>
      </c>
      <c r="Z28" s="67">
        <f t="shared" si="16"/>
        <v>0</v>
      </c>
      <c r="AA28" s="67">
        <f t="shared" si="13"/>
        <v>0</v>
      </c>
      <c r="AB28" s="67">
        <f t="shared" si="7"/>
        <v>111150</v>
      </c>
      <c r="AC28" s="67">
        <f t="shared" si="14"/>
        <v>74888849.25</v>
      </c>
    </row>
    <row r="29" spans="1:29" x14ac:dyDescent="0.3">
      <c r="A29" s="68">
        <v>38656</v>
      </c>
      <c r="B29" s="69"/>
      <c r="C29" s="69"/>
      <c r="D29" s="69"/>
      <c r="E29" s="69"/>
      <c r="F29" s="70">
        <f t="shared" si="0"/>
        <v>0</v>
      </c>
      <c r="G29" s="71">
        <f t="shared" si="8"/>
        <v>0</v>
      </c>
      <c r="H29" s="71">
        <f t="shared" si="1"/>
        <v>0</v>
      </c>
      <c r="I29" s="69"/>
      <c r="J29" s="71">
        <f t="shared" si="2"/>
        <v>0</v>
      </c>
      <c r="K29" s="71">
        <f t="shared" si="3"/>
        <v>0</v>
      </c>
      <c r="L29" s="69"/>
      <c r="M29" s="69"/>
      <c r="N29" s="71">
        <f t="shared" si="9"/>
        <v>0</v>
      </c>
      <c r="O29" s="69"/>
      <c r="P29" s="70">
        <f t="shared" si="4"/>
        <v>0</v>
      </c>
      <c r="Q29" s="41">
        <f t="shared" si="10"/>
        <v>45931</v>
      </c>
      <c r="R29" s="41">
        <f>Q29+30</f>
        <v>45961</v>
      </c>
      <c r="S29" s="41">
        <f t="shared" si="5"/>
        <v>45931</v>
      </c>
      <c r="T29" s="41">
        <f t="shared" si="6"/>
        <v>45961</v>
      </c>
      <c r="U29" s="73">
        <f t="shared" si="17"/>
        <v>30</v>
      </c>
      <c r="V29" s="73">
        <f t="shared" si="11"/>
        <v>300</v>
      </c>
      <c r="W29" s="67">
        <f t="shared" si="18"/>
        <v>0</v>
      </c>
      <c r="X29" s="67">
        <f t="shared" si="15"/>
        <v>0</v>
      </c>
      <c r="Y29" s="67">
        <f t="shared" si="12"/>
        <v>0</v>
      </c>
      <c r="Z29" s="67">
        <f t="shared" si="16"/>
        <v>0</v>
      </c>
      <c r="AA29" s="67">
        <f t="shared" si="13"/>
        <v>0</v>
      </c>
      <c r="AB29" s="67">
        <f t="shared" si="7"/>
        <v>123500</v>
      </c>
      <c r="AC29" s="67">
        <f t="shared" si="14"/>
        <v>83209832.5</v>
      </c>
    </row>
    <row r="30" spans="1:29" x14ac:dyDescent="0.3">
      <c r="A30" s="68">
        <v>38686</v>
      </c>
      <c r="B30" s="69"/>
      <c r="C30" s="69"/>
      <c r="D30" s="69"/>
      <c r="E30" s="69"/>
      <c r="F30" s="70">
        <f t="shared" si="0"/>
        <v>0</v>
      </c>
      <c r="G30" s="71">
        <f t="shared" si="8"/>
        <v>0</v>
      </c>
      <c r="H30" s="71">
        <f t="shared" si="1"/>
        <v>0</v>
      </c>
      <c r="I30" s="69"/>
      <c r="J30" s="71">
        <f t="shared" si="2"/>
        <v>0</v>
      </c>
      <c r="K30" s="71">
        <f t="shared" si="3"/>
        <v>0</v>
      </c>
      <c r="L30" s="69"/>
      <c r="M30" s="69"/>
      <c r="N30" s="71">
        <f t="shared" si="9"/>
        <v>0</v>
      </c>
      <c r="O30" s="69"/>
      <c r="P30" s="70">
        <f t="shared" si="4"/>
        <v>0</v>
      </c>
      <c r="Q30" s="41">
        <f t="shared" si="10"/>
        <v>45962</v>
      </c>
      <c r="R30" s="41">
        <f>Q30+29</f>
        <v>45991</v>
      </c>
      <c r="S30" s="41">
        <f t="shared" si="5"/>
        <v>45962</v>
      </c>
      <c r="T30" s="41">
        <f t="shared" si="6"/>
        <v>45991</v>
      </c>
      <c r="U30" s="73">
        <f t="shared" si="17"/>
        <v>30</v>
      </c>
      <c r="V30" s="73">
        <f t="shared" si="11"/>
        <v>330</v>
      </c>
      <c r="W30" s="67">
        <f t="shared" si="18"/>
        <v>0</v>
      </c>
      <c r="X30" s="67">
        <f t="shared" si="15"/>
        <v>0</v>
      </c>
      <c r="Y30" s="67">
        <f t="shared" si="12"/>
        <v>0</v>
      </c>
      <c r="Z30" s="67">
        <f t="shared" si="16"/>
        <v>0</v>
      </c>
      <c r="AA30" s="67">
        <f t="shared" si="13"/>
        <v>0</v>
      </c>
      <c r="AB30" s="67">
        <f t="shared" si="7"/>
        <v>135850</v>
      </c>
      <c r="AC30" s="67">
        <f t="shared" si="14"/>
        <v>91530815.750000015</v>
      </c>
    </row>
    <row r="31" spans="1:29" x14ac:dyDescent="0.3">
      <c r="A31" s="68">
        <v>38717</v>
      </c>
      <c r="B31" s="69"/>
      <c r="C31" s="69"/>
      <c r="D31" s="69"/>
      <c r="E31" s="69"/>
      <c r="F31" s="70">
        <f t="shared" si="0"/>
        <v>0</v>
      </c>
      <c r="G31" s="71">
        <f t="shared" si="8"/>
        <v>0</v>
      </c>
      <c r="H31" s="71">
        <f t="shared" si="1"/>
        <v>0</v>
      </c>
      <c r="I31" s="69"/>
      <c r="J31" s="71">
        <f t="shared" si="2"/>
        <v>0</v>
      </c>
      <c r="K31" s="71">
        <f t="shared" si="3"/>
        <v>0</v>
      </c>
      <c r="L31" s="69"/>
      <c r="M31" s="69"/>
      <c r="N31" s="71">
        <f t="shared" si="9"/>
        <v>0</v>
      </c>
      <c r="O31" s="69"/>
      <c r="P31" s="70">
        <f t="shared" si="4"/>
        <v>0</v>
      </c>
      <c r="Q31" s="41">
        <f t="shared" si="10"/>
        <v>45992</v>
      </c>
      <c r="R31" s="41">
        <f>Q31+30</f>
        <v>46022</v>
      </c>
      <c r="S31" s="41">
        <f t="shared" si="5"/>
        <v>45992</v>
      </c>
      <c r="T31" s="41">
        <f t="shared" si="6"/>
        <v>46022</v>
      </c>
      <c r="U31" s="73">
        <f t="shared" si="17"/>
        <v>30</v>
      </c>
      <c r="V31" s="73">
        <f t="shared" si="11"/>
        <v>360</v>
      </c>
      <c r="W31" s="67">
        <f t="shared" si="18"/>
        <v>0</v>
      </c>
      <c r="X31" s="67">
        <f t="shared" si="15"/>
        <v>0</v>
      </c>
      <c r="Y31" s="67">
        <f t="shared" si="12"/>
        <v>0</v>
      </c>
      <c r="Z31" s="67">
        <f t="shared" si="16"/>
        <v>0</v>
      </c>
      <c r="AA31" s="67">
        <f t="shared" si="13"/>
        <v>0</v>
      </c>
      <c r="AB31" s="67">
        <f t="shared" si="7"/>
        <v>148200</v>
      </c>
      <c r="AC31" s="67">
        <f t="shared" si="14"/>
        <v>99851799.000000015</v>
      </c>
    </row>
    <row r="32" spans="1:29" x14ac:dyDescent="0.3">
      <c r="A32" s="74" t="s">
        <v>20</v>
      </c>
      <c r="B32" s="69"/>
      <c r="C32" s="69"/>
      <c r="D32" s="69"/>
      <c r="E32" s="69"/>
      <c r="F32" s="70">
        <f t="shared" si="0"/>
        <v>0</v>
      </c>
      <c r="G32" s="71">
        <f t="shared" si="8"/>
        <v>0</v>
      </c>
      <c r="H32" s="71">
        <f t="shared" si="1"/>
        <v>0</v>
      </c>
      <c r="I32" s="69"/>
      <c r="J32" s="71">
        <f t="shared" si="2"/>
        <v>0</v>
      </c>
      <c r="K32" s="71">
        <f t="shared" si="3"/>
        <v>0</v>
      </c>
      <c r="L32" s="69"/>
      <c r="M32" s="69"/>
      <c r="N32" s="71">
        <f t="shared" si="9"/>
        <v>0</v>
      </c>
      <c r="O32" s="69"/>
      <c r="P32" s="70">
        <f t="shared" si="4"/>
        <v>0</v>
      </c>
      <c r="Q32" s="41"/>
      <c r="R32" s="41"/>
      <c r="U32" s="73">
        <f>IF(S32=0,0,DAYS360(S32,T32,1)+1)</f>
        <v>0</v>
      </c>
      <c r="V32" s="73">
        <f t="shared" si="11"/>
        <v>360</v>
      </c>
      <c r="W32" s="67">
        <f t="shared" si="18"/>
        <v>0</v>
      </c>
      <c r="X32" s="67">
        <f t="shared" si="15"/>
        <v>0</v>
      </c>
      <c r="Y32" s="67">
        <f t="shared" si="12"/>
        <v>0</v>
      </c>
      <c r="Z32" s="67">
        <f t="shared" si="16"/>
        <v>0</v>
      </c>
      <c r="AA32" s="67">
        <f t="shared" si="13"/>
        <v>0</v>
      </c>
      <c r="AB32" s="67">
        <f t="shared" si="7"/>
        <v>148200</v>
      </c>
      <c r="AC32" s="67">
        <f t="shared" si="14"/>
        <v>99851799.000000015</v>
      </c>
    </row>
    <row r="33" spans="1:29" x14ac:dyDescent="0.3">
      <c r="A33" s="75" t="s">
        <v>21</v>
      </c>
      <c r="B33" s="69"/>
      <c r="C33" s="69"/>
      <c r="D33" s="69"/>
      <c r="E33" s="69"/>
      <c r="F33" s="70">
        <f t="shared" si="0"/>
        <v>0</v>
      </c>
      <c r="G33" s="71">
        <f t="shared" si="8"/>
        <v>0</v>
      </c>
      <c r="H33" s="71">
        <f t="shared" si="1"/>
        <v>0</v>
      </c>
      <c r="I33" s="69"/>
      <c r="J33" s="71">
        <f t="shared" si="2"/>
        <v>0</v>
      </c>
      <c r="K33" s="71">
        <f t="shared" si="3"/>
        <v>0</v>
      </c>
      <c r="L33" s="69"/>
      <c r="M33" s="69"/>
      <c r="N33" s="71">
        <f t="shared" si="9"/>
        <v>0</v>
      </c>
      <c r="O33" s="69"/>
      <c r="P33" s="70">
        <f t="shared" si="4"/>
        <v>0</v>
      </c>
      <c r="Q33" s="41"/>
      <c r="R33" s="41"/>
      <c r="U33" s="73">
        <f>IF(S33=0,0,DAYS360(S33,T33,1)+1)</f>
        <v>0</v>
      </c>
      <c r="V33" s="73">
        <f t="shared" si="11"/>
        <v>360</v>
      </c>
      <c r="W33" s="67">
        <f t="shared" si="18"/>
        <v>0</v>
      </c>
      <c r="X33" s="67">
        <f t="shared" si="15"/>
        <v>0</v>
      </c>
      <c r="Y33" s="67">
        <f t="shared" si="12"/>
        <v>0</v>
      </c>
      <c r="Z33" s="67">
        <f t="shared" si="16"/>
        <v>0</v>
      </c>
      <c r="AA33" s="67">
        <f t="shared" si="13"/>
        <v>0</v>
      </c>
      <c r="AB33" s="67">
        <f t="shared" si="7"/>
        <v>148200</v>
      </c>
      <c r="AC33" s="67">
        <f t="shared" si="14"/>
        <v>99851799.000000015</v>
      </c>
    </row>
    <row r="34" spans="1:29" s="16" customFormat="1" x14ac:dyDescent="0.3">
      <c r="A34" s="63"/>
      <c r="B34" s="63"/>
      <c r="C34" s="63"/>
      <c r="D34" s="63"/>
      <c r="E34" s="63"/>
      <c r="F34" s="63"/>
      <c r="G34" s="66"/>
      <c r="H34" s="66"/>
      <c r="I34" s="63"/>
      <c r="J34" s="66"/>
      <c r="K34" s="66"/>
      <c r="L34" s="66"/>
      <c r="M34" s="66"/>
      <c r="N34" s="63"/>
      <c r="O34" s="63"/>
      <c r="P34" s="63"/>
      <c r="U34" s="76"/>
      <c r="V34" s="76"/>
      <c r="W34" s="76"/>
      <c r="X34" s="76"/>
      <c r="Y34" s="76"/>
      <c r="Z34" s="67"/>
    </row>
    <row r="35" spans="1:29" s="26" customFormat="1" ht="17.25" thickBot="1" x14ac:dyDescent="0.35">
      <c r="A35" s="77" t="s">
        <v>0</v>
      </c>
      <c r="B35" s="78">
        <f>SUM(B20:B33)</f>
        <v>0</v>
      </c>
      <c r="C35" s="78">
        <f t="shared" ref="C35:P35" si="19">SUM(C20:C33)</f>
        <v>0</v>
      </c>
      <c r="D35" s="78">
        <f t="shared" si="19"/>
        <v>0</v>
      </c>
      <c r="E35" s="78">
        <f t="shared" si="19"/>
        <v>0</v>
      </c>
      <c r="F35" s="78">
        <f t="shared" si="19"/>
        <v>0</v>
      </c>
      <c r="G35" s="78">
        <f t="shared" si="19"/>
        <v>0</v>
      </c>
      <c r="H35" s="78">
        <f t="shared" si="19"/>
        <v>0</v>
      </c>
      <c r="I35" s="78">
        <f t="shared" si="19"/>
        <v>0</v>
      </c>
      <c r="J35" s="78">
        <f t="shared" si="19"/>
        <v>0</v>
      </c>
      <c r="K35" s="78">
        <f t="shared" si="19"/>
        <v>0</v>
      </c>
      <c r="L35" s="78">
        <f t="shared" si="19"/>
        <v>0</v>
      </c>
      <c r="M35" s="78">
        <f t="shared" si="19"/>
        <v>0</v>
      </c>
      <c r="N35" s="78">
        <f t="shared" si="19"/>
        <v>0</v>
      </c>
      <c r="O35" s="78">
        <f t="shared" si="19"/>
        <v>0</v>
      </c>
      <c r="P35" s="78">
        <f t="shared" si="19"/>
        <v>0</v>
      </c>
      <c r="Q35" s="79"/>
      <c r="U35" s="80">
        <f>SUM(U20:U34)</f>
        <v>360</v>
      </c>
      <c r="V35" s="80"/>
      <c r="W35" s="67">
        <f>SUM(W20:W31)</f>
        <v>0</v>
      </c>
      <c r="X35" s="67">
        <f>SUM(X20:X31)</f>
        <v>0</v>
      </c>
      <c r="Y35" s="80"/>
      <c r="Z35" s="80"/>
    </row>
    <row r="36" spans="1:29" s="81" customFormat="1" ht="15.75" customHeight="1" thickTop="1" x14ac:dyDescent="0.15">
      <c r="B36" s="82"/>
      <c r="C36" s="82"/>
      <c r="D36" s="82"/>
      <c r="E36" s="82"/>
      <c r="F36" s="98" t="str">
        <f>IF(H36="","","Total AHV+ALV:")</f>
        <v/>
      </c>
      <c r="G36" s="98"/>
      <c r="H36" s="139" t="str">
        <f>IF(G35=0,"",G35+H35)</f>
        <v/>
      </c>
      <c r="I36" s="98" t="str">
        <f>IF(H36="","","Total AHV+ALV+NBU:")</f>
        <v/>
      </c>
      <c r="J36" s="98"/>
      <c r="K36" s="98"/>
      <c r="L36" s="139" t="str">
        <f>IF(G35=0,"",H36+J35)</f>
        <v/>
      </c>
      <c r="M36" s="82"/>
      <c r="N36" s="82"/>
      <c r="O36" s="82"/>
      <c r="P36" s="82"/>
      <c r="Q36" s="82"/>
      <c r="R36" s="82"/>
      <c r="V36" s="83"/>
      <c r="W36" s="83"/>
      <c r="X36" s="83"/>
      <c r="Y36" s="83"/>
      <c r="Z36" s="83"/>
      <c r="AA36" s="83"/>
    </row>
    <row r="37" spans="1:29" x14ac:dyDescent="0.3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29" x14ac:dyDescent="0.3">
      <c r="A38" s="26" t="s">
        <v>35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1:29" x14ac:dyDescent="0.3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28"/>
      <c r="R39" s="27"/>
      <c r="S39" s="41">
        <f>R31+1</f>
        <v>46023</v>
      </c>
    </row>
    <row r="40" spans="1:29" x14ac:dyDescent="0.3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28"/>
      <c r="R40" s="27"/>
    </row>
    <row r="41" spans="1:29" x14ac:dyDescent="0.3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28"/>
      <c r="R41" s="27"/>
    </row>
    <row r="42" spans="1:29" x14ac:dyDescent="0.3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28"/>
      <c r="R42" s="27"/>
    </row>
    <row r="43" spans="1:29" x14ac:dyDescent="0.3">
      <c r="A43" s="113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88"/>
      <c r="R43" s="27"/>
    </row>
    <row r="44" spans="1:29" x14ac:dyDescent="0.3">
      <c r="A44" s="113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28"/>
    </row>
    <row r="45" spans="1:29" x14ac:dyDescent="0.3">
      <c r="A45" s="113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28"/>
    </row>
    <row r="46" spans="1:29" x14ac:dyDescent="0.3">
      <c r="A46" s="113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28"/>
    </row>
    <row r="47" spans="1:29" x14ac:dyDescent="0.3">
      <c r="A47" s="113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28"/>
    </row>
    <row r="48" spans="1:29" x14ac:dyDescent="0.3">
      <c r="Q48" s="28"/>
    </row>
    <row r="50" spans="1:18" x14ac:dyDescent="0.3">
      <c r="A50" s="26"/>
      <c r="Q50" s="30"/>
    </row>
    <row r="51" spans="1:18" x14ac:dyDescent="0.3">
      <c r="A51" s="29"/>
      <c r="H51" s="84"/>
      <c r="Q51" s="30"/>
    </row>
    <row r="52" spans="1:18" x14ac:dyDescent="0.3">
      <c r="A52" s="31"/>
      <c r="Q52" s="85"/>
    </row>
    <row r="54" spans="1:18" x14ac:dyDescent="0.3">
      <c r="A54" s="26" t="s">
        <v>36</v>
      </c>
      <c r="Q54" s="27"/>
    </row>
    <row r="55" spans="1:18" x14ac:dyDescent="0.3">
      <c r="A55" s="113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28"/>
    </row>
    <row r="56" spans="1:18" s="1" customFormat="1" x14ac:dyDescent="0.3">
      <c r="A56" s="113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28"/>
    </row>
    <row r="57" spans="1:18" s="1" customFormat="1" x14ac:dyDescent="0.3">
      <c r="A57" s="113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28"/>
    </row>
    <row r="58" spans="1:18" x14ac:dyDescent="0.3">
      <c r="A58" s="113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28"/>
      <c r="R58" s="28"/>
    </row>
    <row r="59" spans="1:18" s="1" customFormat="1" x14ac:dyDescent="0.3">
      <c r="A59" s="113"/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28"/>
      <c r="R59" s="28"/>
    </row>
    <row r="60" spans="1:18" s="1" customFormat="1" x14ac:dyDescent="0.3">
      <c r="A60" s="113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28"/>
      <c r="R60" s="28"/>
    </row>
    <row r="61" spans="1:18" x14ac:dyDescent="0.3">
      <c r="A61" s="113"/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28"/>
      <c r="R61" s="28"/>
    </row>
    <row r="62" spans="1:18" s="1" customFormat="1" x14ac:dyDescent="0.3">
      <c r="A62" s="113"/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28"/>
      <c r="R62" s="28"/>
    </row>
    <row r="63" spans="1:18" s="1" customFormat="1" x14ac:dyDescent="0.3">
      <c r="A63" s="113"/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28"/>
      <c r="R63" s="28"/>
    </row>
    <row r="64" spans="1:18" x14ac:dyDescent="0.3">
      <c r="A64" s="113"/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28"/>
      <c r="R64" s="28"/>
    </row>
    <row r="65" spans="1:18" s="1" customFormat="1" x14ac:dyDescent="0.3">
      <c r="A65" s="113"/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28"/>
      <c r="R65" s="28"/>
    </row>
    <row r="66" spans="1:18" s="1" customFormat="1" x14ac:dyDescent="0.3">
      <c r="A66" s="113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28"/>
      <c r="R66" s="28"/>
    </row>
    <row r="67" spans="1:18" s="1" customFormat="1" x14ac:dyDescent="0.3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</row>
    <row r="68" spans="1:18" s="1" customFormat="1" x14ac:dyDescent="0.3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x14ac:dyDescent="0.3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</row>
    <row r="70" spans="1:18" x14ac:dyDescent="0.3">
      <c r="R70" s="28"/>
    </row>
  </sheetData>
  <sheetProtection algorithmName="SHA-512" hashValue="sdD1Wpl3nWUH71YkKUrLOcND0L5LuqbAtPBRrK7myK4r5SeZqEdVNl6ptJKFBodPtCJotV79XBHk+Xvz7cWreg==" saltValue="37+oXTTD40HEH5Kf7EguDw==" spinCount="100000" sheet="1" objects="1" scenarios="1"/>
  <mergeCells count="52">
    <mergeCell ref="H4:I4"/>
    <mergeCell ref="C5:E5"/>
    <mergeCell ref="H5:I5"/>
    <mergeCell ref="C6:E6"/>
    <mergeCell ref="C4:E4"/>
    <mergeCell ref="A41:P41"/>
    <mergeCell ref="C7:E7"/>
    <mergeCell ref="C10:D10"/>
    <mergeCell ref="M16:M17"/>
    <mergeCell ref="C9:D9"/>
    <mergeCell ref="C12:D12"/>
    <mergeCell ref="D15:G15"/>
    <mergeCell ref="D16:D18"/>
    <mergeCell ref="E16:E18"/>
    <mergeCell ref="F16:F18"/>
    <mergeCell ref="K16:K17"/>
    <mergeCell ref="C16:C18"/>
    <mergeCell ref="J16:J17"/>
    <mergeCell ref="G16:G17"/>
    <mergeCell ref="I16:I18"/>
    <mergeCell ref="H16:H17"/>
    <mergeCell ref="H10:L10"/>
    <mergeCell ref="F36:G36"/>
    <mergeCell ref="I36:K36"/>
    <mergeCell ref="A39:P39"/>
    <mergeCell ref="A40:P40"/>
    <mergeCell ref="L16:L17"/>
    <mergeCell ref="S17:T17"/>
    <mergeCell ref="Q17:R17"/>
    <mergeCell ref="A16:A18"/>
    <mergeCell ref="B16:B18"/>
    <mergeCell ref="N16:N18"/>
    <mergeCell ref="P16:P18"/>
    <mergeCell ref="O16:O18"/>
    <mergeCell ref="A42:P42"/>
    <mergeCell ref="A43:P43"/>
    <mergeCell ref="A47:P47"/>
    <mergeCell ref="A55:P55"/>
    <mergeCell ref="A56:P56"/>
    <mergeCell ref="A44:P44"/>
    <mergeCell ref="A45:P45"/>
    <mergeCell ref="A46:P46"/>
    <mergeCell ref="A57:P57"/>
    <mergeCell ref="A58:P58"/>
    <mergeCell ref="A64:P64"/>
    <mergeCell ref="A65:P65"/>
    <mergeCell ref="A66:P66"/>
    <mergeCell ref="A59:P59"/>
    <mergeCell ref="A60:P60"/>
    <mergeCell ref="A61:P61"/>
    <mergeCell ref="A62:P62"/>
    <mergeCell ref="A63:P63"/>
  </mergeCells>
  <phoneticPr fontId="0" type="noConversion"/>
  <dataValidations count="1">
    <dataValidation type="textLength" operator="equal" allowBlank="1" showInputMessage="1" showErrorMessage="1" errorTitle="Bitte korrigieren:" error="m = männlich_x000a_w = weiblich" sqref="I7" xr:uid="{00000000-0002-0000-0400-000000000000}">
      <formula1>1</formula1>
    </dataValidation>
  </dataValidations>
  <printOptions horizontalCentered="1"/>
  <pageMargins left="1.0629921259842521" right="0.78740157480314965" top="0.59055118110236227" bottom="0.59055118110236227" header="0.51181102362204722" footer="0.31496062992125984"/>
  <pageSetup paperSize="9" scale="63" orientation="landscape" r:id="rId1"/>
  <headerFooter>
    <oddFooter>&amp;L&amp;G&amp;C&amp;"Segoe UI Semilight,Standard"&amp;K1D71B8Bern | Biel/Bienne&amp;R&amp;"Segoe UI Semilight,Standard"&amp;K1D71B8strasser-ag.ch</oddFooter>
  </headerFooter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8"/>
  <dimension ref="A1:AD70"/>
  <sheetViews>
    <sheetView showGridLines="0" zoomScale="90" zoomScaleNormal="90" workbookViewId="0">
      <selection activeCell="B20" sqref="B20"/>
    </sheetView>
  </sheetViews>
  <sheetFormatPr baseColWidth="10" defaultColWidth="11.28515625" defaultRowHeight="16.5" x14ac:dyDescent="0.3"/>
  <cols>
    <col min="1" max="1" width="16" style="25" customWidth="1"/>
    <col min="2" max="15" width="12.140625" style="25" customWidth="1"/>
    <col min="16" max="16" width="11.85546875" style="25" bestFit="1" customWidth="1"/>
    <col min="17" max="17" width="10.7109375" style="25" hidden="1" customWidth="1"/>
    <col min="18" max="18" width="11" style="25" hidden="1" customWidth="1"/>
    <col min="19" max="19" width="10.7109375" style="25" hidden="1" customWidth="1"/>
    <col min="20" max="20" width="11" style="25" hidden="1" customWidth="1"/>
    <col min="21" max="21" width="14.85546875" style="25" hidden="1" customWidth="1"/>
    <col min="22" max="22" width="14.28515625" style="25" hidden="1" customWidth="1"/>
    <col min="23" max="23" width="7.85546875" style="25" hidden="1" customWidth="1"/>
    <col min="24" max="24" width="9.85546875" style="25" hidden="1" customWidth="1"/>
    <col min="25" max="25" width="12.7109375" style="25" hidden="1" customWidth="1"/>
    <col min="26" max="26" width="14" style="25" hidden="1" customWidth="1"/>
    <col min="27" max="27" width="17.5703125" style="25" hidden="1" customWidth="1"/>
    <col min="28" max="28" width="11.5703125" style="25" hidden="1" customWidth="1"/>
    <col min="29" max="30" width="14.28515625" style="25" hidden="1" customWidth="1"/>
    <col min="31" max="31" width="11.28515625" style="25" customWidth="1"/>
    <col min="32" max="16384" width="11.28515625" style="25"/>
  </cols>
  <sheetData>
    <row r="1" spans="1:18" s="34" customFormat="1" ht="20.25" x14ac:dyDescent="0.35">
      <c r="A1" s="32" t="s">
        <v>42</v>
      </c>
      <c r="B1" s="33">
        <f>Jahr</f>
        <v>2025</v>
      </c>
      <c r="P1" s="35">
        <f>Firma</f>
        <v>0</v>
      </c>
    </row>
    <row r="2" spans="1:18" s="34" customFormat="1" ht="20.25" x14ac:dyDescent="0.35">
      <c r="E2" s="36"/>
      <c r="P2" s="35">
        <f>Ort</f>
        <v>0</v>
      </c>
    </row>
    <row r="3" spans="1:18" s="34" customFormat="1" x14ac:dyDescent="0.3">
      <c r="Q3" s="37"/>
    </row>
    <row r="4" spans="1:18" s="34" customFormat="1" x14ac:dyDescent="0.3">
      <c r="A4" s="38" t="s">
        <v>2</v>
      </c>
      <c r="C4" s="134"/>
      <c r="D4" s="134"/>
      <c r="E4" s="134"/>
      <c r="G4" s="39" t="s">
        <v>3</v>
      </c>
      <c r="H4" s="132"/>
      <c r="I4" s="132"/>
      <c r="J4" s="40" t="str">
        <f>IF(H4&gt;R31,"Achtung, ungültiges Datum"," ")</f>
        <v xml:space="preserve"> </v>
      </c>
      <c r="R4" s="41">
        <f>IF(H4&gt;Q20,H4,Q20)</f>
        <v>45658</v>
      </c>
    </row>
    <row r="5" spans="1:18" s="34" customFormat="1" x14ac:dyDescent="0.3">
      <c r="A5" s="38" t="s">
        <v>4</v>
      </c>
      <c r="C5" s="133"/>
      <c r="D5" s="133"/>
      <c r="E5" s="133"/>
      <c r="G5" s="39" t="s">
        <v>5</v>
      </c>
      <c r="H5" s="132"/>
      <c r="I5" s="132"/>
      <c r="J5" s="40" t="str">
        <f>IF(H5=0," ",IF(H5&lt;Q20,"Achtung, ungültiges Datum"," "))</f>
        <v xml:space="preserve"> </v>
      </c>
      <c r="R5" s="41">
        <f>IF(H5=0,R31,IF(H5&gt;R31,R31,H5))</f>
        <v>46022</v>
      </c>
    </row>
    <row r="6" spans="1:18" s="34" customFormat="1" ht="17.649999999999999" customHeight="1" x14ac:dyDescent="0.3">
      <c r="A6" s="38" t="s">
        <v>6</v>
      </c>
      <c r="C6" s="133"/>
      <c r="D6" s="133"/>
      <c r="E6" s="133"/>
      <c r="H6" s="42" t="str">
        <f>IF(H5&lt;H4,IF(H5="","","Achtung: Fehler Eintritt / Austritt"),"")</f>
        <v/>
      </c>
      <c r="I6" s="43"/>
    </row>
    <row r="7" spans="1:18" s="34" customFormat="1" ht="17.649999999999999" customHeight="1" x14ac:dyDescent="0.3">
      <c r="A7" s="38" t="s">
        <v>33</v>
      </c>
      <c r="C7" s="133"/>
      <c r="D7" s="133"/>
      <c r="E7" s="133"/>
      <c r="G7" s="39" t="s">
        <v>7</v>
      </c>
      <c r="I7" s="44"/>
      <c r="J7" s="45" t="str">
        <f>IF(E13=1,IF(I7="M","Achtung: Mitarbeiter wird pensioniert per:",IF(E13=1,"Achtung: Mitarbeiterin wird pensioniert per:","")),"")</f>
        <v/>
      </c>
      <c r="N7" s="46" t="str">
        <f>IF(E13=1,C14," ")</f>
        <v xml:space="preserve"> </v>
      </c>
      <c r="O7" s="46"/>
    </row>
    <row r="8" spans="1:18" s="34" customFormat="1" x14ac:dyDescent="0.3">
      <c r="A8" s="38"/>
      <c r="C8" s="42" t="str">
        <f>IF((B35+C35)&lt;&gt;0,IF(C4="","Achtung: Name, Vorname und Adresse eingeben!",""),"")</f>
        <v/>
      </c>
      <c r="D8" s="37"/>
      <c r="E8" s="37"/>
      <c r="I8" s="42" t="str">
        <f>IF((B35+C35)&lt;&gt;0,IF(I7="","Achtung: 'm' für männlich, 'w' für weiblich eingeben!",""),"")</f>
        <v/>
      </c>
      <c r="K8" s="43"/>
    </row>
    <row r="9" spans="1:18" s="34" customFormat="1" x14ac:dyDescent="0.3">
      <c r="A9" s="38" t="s">
        <v>54</v>
      </c>
      <c r="C9" s="135"/>
      <c r="D9" s="135"/>
      <c r="E9" s="47"/>
      <c r="F9" s="48" t="str">
        <f ca="1">IF(D13&gt;=1,"Referenzalter erreicht ab","")</f>
        <v/>
      </c>
      <c r="G9" s="49" t="str">
        <f ca="1">IF(D13=1,C14, " ")</f>
        <v xml:space="preserve"> </v>
      </c>
      <c r="H9" s="50" t="str">
        <f ca="1">IF(F9&gt;" ","AHV-Freibetrag von Fr. 1'400.-- pro Monat berücksichtigen! Kein ALV-Abzug mehr; Korrektur unter Spalte M oder N","")</f>
        <v/>
      </c>
      <c r="I9" s="1"/>
      <c r="J9" s="1"/>
      <c r="K9" s="1"/>
      <c r="L9" s="1"/>
      <c r="M9" s="1"/>
      <c r="N9" s="1"/>
      <c r="O9" s="1"/>
      <c r="P9" s="1"/>
      <c r="Q9" s="1"/>
    </row>
    <row r="10" spans="1:18" s="34" customFormat="1" x14ac:dyDescent="0.3">
      <c r="A10" s="38" t="s">
        <v>55</v>
      </c>
      <c r="C10" s="135"/>
      <c r="D10" s="135"/>
      <c r="E10" s="37"/>
      <c r="F10" s="45"/>
      <c r="G10" s="51"/>
      <c r="H10" s="137" t="str">
        <f ca="1">IF(H9&gt;" ","Mitarbeitende können neu freiwillig auf den AHV-Freibetrag verzichten","")</f>
        <v/>
      </c>
      <c r="I10" s="137"/>
      <c r="J10" s="137"/>
      <c r="K10" s="137"/>
      <c r="L10" s="137"/>
    </row>
    <row r="11" spans="1:18" s="34" customFormat="1" x14ac:dyDescent="0.3">
      <c r="A11" s="38"/>
      <c r="C11" s="52"/>
      <c r="D11" s="52"/>
      <c r="E11" s="45"/>
      <c r="F11" s="53" t="str">
        <f>IF(F13&lt;18,IF(C13&gt;0,"Achtung:",""),"")</f>
        <v/>
      </c>
      <c r="G11" s="51" t="str">
        <f>IF(F11&gt;" ","Angestellte Person ist unter 18 Jahre!","")</f>
        <v/>
      </c>
      <c r="P11" s="54"/>
    </row>
    <row r="12" spans="1:18" s="34" customFormat="1" x14ac:dyDescent="0.3">
      <c r="A12" s="38" t="s">
        <v>8</v>
      </c>
      <c r="C12" s="136"/>
      <c r="D12" s="136"/>
      <c r="E12" s="45"/>
      <c r="G12" s="51" t="str">
        <f>IF(F11&gt;" ","Lohn unter 'nicht AHV-pflichtig' eintragen und ALV manuell auf 0% stellen!","")</f>
        <v/>
      </c>
    </row>
    <row r="13" spans="1:18" s="34" customFormat="1" hidden="1" x14ac:dyDescent="0.3">
      <c r="A13" s="56" t="s">
        <v>62</v>
      </c>
      <c r="B13" s="57"/>
      <c r="C13" s="58" t="b">
        <f>IF($C$12&gt;0,IF(I7="W",EDATE($C$12,(12*64.33)),IF(I7="M",EDATE($C$12,65*12))))</f>
        <v>0</v>
      </c>
      <c r="D13" s="59">
        <f ca="1">IF(C14&gt;TODAY(),0,1)</f>
        <v>0</v>
      </c>
      <c r="E13" s="60">
        <f>IF(C14-($Q$20-1)&lt;365.25,IF(C14-($Q$20-1)&gt;0,1,0),0)</f>
        <v>0</v>
      </c>
      <c r="F13" s="34">
        <f>(R31-C12)/365.25</f>
        <v>126.00136892539356</v>
      </c>
    </row>
    <row r="14" spans="1:18" s="34" customFormat="1" hidden="1" x14ac:dyDescent="0.3">
      <c r="A14" s="56" t="s">
        <v>63</v>
      </c>
      <c r="B14" s="57"/>
      <c r="C14" s="61">
        <f>IFERROR(IF(I7="W",IF(C12&gt;22281,EOMONTH(C13,1),EOMONTH(C13,-2)),EOMONTH(C13,1)),DATE(2900,1,1))</f>
        <v>365245</v>
      </c>
      <c r="E14" s="60"/>
    </row>
    <row r="15" spans="1:18" s="34" customFormat="1" x14ac:dyDescent="0.3">
      <c r="A15" s="37"/>
      <c r="D15" s="130" t="s">
        <v>41</v>
      </c>
      <c r="E15" s="130"/>
      <c r="F15" s="130"/>
      <c r="G15" s="131"/>
      <c r="H15" s="62"/>
      <c r="I15" s="63"/>
      <c r="J15" s="62"/>
      <c r="K15" s="62"/>
    </row>
    <row r="16" spans="1:18" s="16" customFormat="1" ht="12.75" customHeight="1" x14ac:dyDescent="0.25">
      <c r="A16" s="117" t="s">
        <v>9</v>
      </c>
      <c r="B16" s="117" t="str">
        <f>Zusammenstellung!C21</f>
        <v>AHV-Lohn</v>
      </c>
      <c r="C16" s="117" t="str">
        <f>Zusammenstellung!D21</f>
        <v>nicht AHV-pflichtig</v>
      </c>
      <c r="D16" s="117" t="str">
        <f>Zusammenstellung!E21</f>
        <v>Unfall- und
Kranken-
taggeld</v>
      </c>
      <c r="E16" s="117" t="str">
        <f>Zusammenstellung!F21</f>
        <v>Kinder-
zulagen</v>
      </c>
      <c r="F16" s="117" t="str">
        <f>Zusammenstellung!G21</f>
        <v>Total Bruttolohn</v>
      </c>
      <c r="G16" s="128" t="str">
        <f>Zusammenstellung!H21</f>
        <v>AHV</v>
      </c>
      <c r="H16" s="128" t="str">
        <f>Zusammenstellung!I21</f>
        <v>ALV</v>
      </c>
      <c r="I16" s="117" t="str">
        <f>Zusammenstellung!J21</f>
        <v>BVG</v>
      </c>
      <c r="J16" s="128" t="str">
        <f>Zusammenstellung!K21</f>
        <v>NBU</v>
      </c>
      <c r="K16" s="128" t="str">
        <f>Zusammenstellung!L21</f>
        <v>KTG</v>
      </c>
      <c r="L16" s="120"/>
      <c r="M16" s="120"/>
      <c r="N16" s="117" t="str">
        <f>Zusammenstellung!O21</f>
        <v>Nettolohn</v>
      </c>
      <c r="O16" s="117" t="str">
        <f>Zusammenstellung!P21</f>
        <v xml:space="preserve">Spesen </v>
      </c>
      <c r="P16" s="117" t="str">
        <f>Zusammenstellung!Q21</f>
        <v>Auszahlung</v>
      </c>
    </row>
    <row r="17" spans="1:29" s="16" customFormat="1" ht="14.25" x14ac:dyDescent="0.25">
      <c r="A17" s="118"/>
      <c r="B17" s="118"/>
      <c r="C17" s="118"/>
      <c r="D17" s="118"/>
      <c r="E17" s="118"/>
      <c r="F17" s="118"/>
      <c r="G17" s="129"/>
      <c r="H17" s="129"/>
      <c r="I17" s="118"/>
      <c r="J17" s="129"/>
      <c r="K17" s="129"/>
      <c r="L17" s="121"/>
      <c r="M17" s="121"/>
      <c r="N17" s="118"/>
      <c r="O17" s="118"/>
      <c r="P17" s="118"/>
      <c r="Q17" s="115" t="s">
        <v>9</v>
      </c>
      <c r="R17" s="116"/>
      <c r="S17" s="116" t="s">
        <v>45</v>
      </c>
      <c r="T17" s="116"/>
      <c r="U17" s="16" t="s">
        <v>46</v>
      </c>
      <c r="V17" s="16" t="s">
        <v>47</v>
      </c>
      <c r="W17" s="16" t="s">
        <v>50</v>
      </c>
      <c r="X17" s="16" t="s">
        <v>60</v>
      </c>
      <c r="Y17" s="16" t="s">
        <v>51</v>
      </c>
      <c r="Z17" s="16" t="s">
        <v>61</v>
      </c>
      <c r="AA17" s="16" t="s">
        <v>49</v>
      </c>
      <c r="AB17" s="16" t="s">
        <v>48</v>
      </c>
      <c r="AC17" s="16" t="s">
        <v>59</v>
      </c>
    </row>
    <row r="18" spans="1:29" s="16" customFormat="1" ht="14.25" x14ac:dyDescent="0.2">
      <c r="A18" s="119"/>
      <c r="B18" s="119"/>
      <c r="C18" s="119"/>
      <c r="D18" s="119"/>
      <c r="E18" s="119"/>
      <c r="F18" s="119"/>
      <c r="G18" s="64">
        <f>AHV</f>
        <v>5.2999999999999999E-2</v>
      </c>
      <c r="H18" s="64">
        <f>IF(H15="",ALV,H15)</f>
        <v>1.0999999999999999E-2</v>
      </c>
      <c r="I18" s="119"/>
      <c r="J18" s="64">
        <f>IF(J15="",NBU,J15)</f>
        <v>1.4E-2</v>
      </c>
      <c r="K18" s="64">
        <f>IF(K15="",IF(I7="w",KTGW,KTG),K15)</f>
        <v>0.01</v>
      </c>
      <c r="L18" s="17"/>
      <c r="M18" s="17"/>
      <c r="N18" s="119"/>
      <c r="O18" s="119"/>
      <c r="P18" s="119"/>
      <c r="Q18" s="65" t="s">
        <v>43</v>
      </c>
      <c r="R18" s="65" t="s">
        <v>44</v>
      </c>
      <c r="S18" s="65" t="s">
        <v>43</v>
      </c>
      <c r="T18" s="65" t="s">
        <v>44</v>
      </c>
    </row>
    <row r="19" spans="1:29" s="16" customFormat="1" x14ac:dyDescent="0.3">
      <c r="A19" s="63"/>
      <c r="B19" s="63"/>
      <c r="C19" s="63"/>
      <c r="D19" s="63"/>
      <c r="E19" s="63"/>
      <c r="F19" s="63"/>
      <c r="G19" s="66"/>
      <c r="H19" s="66"/>
      <c r="I19" s="63"/>
      <c r="J19" s="66"/>
      <c r="K19" s="66"/>
      <c r="L19" s="66"/>
      <c r="M19" s="66"/>
      <c r="N19" s="63"/>
      <c r="O19" s="63"/>
      <c r="P19" s="63"/>
      <c r="Z19" s="67"/>
    </row>
    <row r="20" spans="1:29" x14ac:dyDescent="0.3">
      <c r="A20" s="68">
        <v>38383</v>
      </c>
      <c r="B20" s="69"/>
      <c r="C20" s="69"/>
      <c r="D20" s="69"/>
      <c r="E20" s="69"/>
      <c r="F20" s="70">
        <f>SUM(B20:E20)</f>
        <v>0</v>
      </c>
      <c r="G20" s="71">
        <f>ROUND($B20*G$18/5,2)*5</f>
        <v>0</v>
      </c>
      <c r="H20" s="71">
        <f t="shared" ref="H20:H33" si="0">ROUND(W20*$H$18/5,2)*5</f>
        <v>0</v>
      </c>
      <c r="I20" s="69"/>
      <c r="J20" s="71">
        <f t="shared" ref="J20:J33" si="1">ROUND(W20*$J$18/5,2)*5</f>
        <v>0</v>
      </c>
      <c r="K20" s="71">
        <f t="shared" ref="K20:K33" si="2">ROUND(($B20+$C20)*K$18/5,2)*5</f>
        <v>0</v>
      </c>
      <c r="L20" s="69"/>
      <c r="M20" s="69"/>
      <c r="N20" s="71">
        <f>F20-G20-H20-J20-K20-L20-M20-I20</f>
        <v>0</v>
      </c>
      <c r="O20" s="69"/>
      <c r="P20" s="70">
        <f>N20+O20</f>
        <v>0</v>
      </c>
      <c r="Q20" s="72">
        <v>45658</v>
      </c>
      <c r="R20" s="41">
        <f>Q20+30</f>
        <v>45688</v>
      </c>
      <c r="S20" s="41">
        <f>IF($R$4&gt;R20,0,IF($R$4&gt;Q20,$R$4,Q20))</f>
        <v>45658</v>
      </c>
      <c r="T20" s="41">
        <f>IF(S20=0,0,IF($R$5&gt;R20,R20,IF(S20&gt;$R$5,(S20)-1,$R$5)))</f>
        <v>45688</v>
      </c>
      <c r="U20" s="73">
        <f>IF(S20=0,0,DAYS360(S20,T20,1)+1)</f>
        <v>30</v>
      </c>
      <c r="V20" s="73">
        <f>U20</f>
        <v>30</v>
      </c>
      <c r="W20" s="67">
        <f>IF(AA20&gt;AB20,AB20-Y19,AA20-Y19)</f>
        <v>0</v>
      </c>
      <c r="X20" s="67">
        <f>IF(AA20&lt;(AB20),0,IF(AA20&gt;(AB20+AC20),AC20-Z19,AA20-Z19-AB20))</f>
        <v>0</v>
      </c>
      <c r="Y20" s="67">
        <f>W20</f>
        <v>0</v>
      </c>
      <c r="Z20" s="67">
        <f>X20</f>
        <v>0</v>
      </c>
      <c r="AA20" s="67">
        <f>B20+C20</f>
        <v>0</v>
      </c>
      <c r="AB20" s="67">
        <f>ALVMAX/360*V20</f>
        <v>12350</v>
      </c>
      <c r="AC20" s="67">
        <f>(ALVMAX2/360*V20)-AB20</f>
        <v>8320983.2500000009</v>
      </c>
    </row>
    <row r="21" spans="1:29" x14ac:dyDescent="0.3">
      <c r="A21" s="68">
        <v>38411</v>
      </c>
      <c r="B21" s="69"/>
      <c r="C21" s="69"/>
      <c r="D21" s="69"/>
      <c r="E21" s="69"/>
      <c r="F21" s="70">
        <f t="shared" ref="F21:F33" si="3">SUM(B21:E21)</f>
        <v>0</v>
      </c>
      <c r="G21" s="71">
        <f t="shared" ref="G21:G33" si="4">ROUND(B21*$G$18/5,2)*5</f>
        <v>0</v>
      </c>
      <c r="H21" s="71">
        <f t="shared" si="0"/>
        <v>0</v>
      </c>
      <c r="I21" s="69"/>
      <c r="J21" s="71">
        <f t="shared" si="1"/>
        <v>0</v>
      </c>
      <c r="K21" s="71">
        <f t="shared" si="2"/>
        <v>0</v>
      </c>
      <c r="L21" s="69"/>
      <c r="M21" s="69"/>
      <c r="N21" s="71">
        <f t="shared" ref="N21:N33" si="5">F21-G21-H21-J21-K21-L21-M21-I21</f>
        <v>0</v>
      </c>
      <c r="O21" s="69"/>
      <c r="P21" s="70">
        <f t="shared" ref="P21:P33" si="6">N21+O21</f>
        <v>0</v>
      </c>
      <c r="Q21" s="41">
        <f>R20+1</f>
        <v>45689</v>
      </c>
      <c r="R21" s="72">
        <v>45716</v>
      </c>
      <c r="S21" s="41">
        <f t="shared" ref="S21:S31" si="7">IF($R$4&gt;R21,0,IF($R$4&gt;Q21,$R$4,Q21))</f>
        <v>45689</v>
      </c>
      <c r="T21" s="41">
        <f t="shared" ref="T21:T31" si="8">IF(S21=0,0,IF($R$5&gt;R21,R21,IF(S21&gt;$R$5,(S21)-1,$R$5)))</f>
        <v>45716</v>
      </c>
      <c r="U21" s="73">
        <f>IF(S21=0,0,IF(R21=T21,DAYS360(S21,T21,1)+3,DAYS360(S21,T21,1)+1))</f>
        <v>30</v>
      </c>
      <c r="V21" s="73">
        <f>V20+U21</f>
        <v>60</v>
      </c>
      <c r="W21" s="67">
        <f>IF(AA21&gt;AB21,AB21-Y20,AA21-Y20)</f>
        <v>0</v>
      </c>
      <c r="X21" s="67">
        <f>IF(AA21&lt;(AB21),0,IF(AA21&gt;(AB21+AC21),AC21-Z20,AA21-Z20-AB21))</f>
        <v>0</v>
      </c>
      <c r="Y21" s="67">
        <f t="shared" ref="Y21:Y33" si="9">Y20+W21</f>
        <v>0</v>
      </c>
      <c r="Z21" s="67">
        <f>X21+Z20</f>
        <v>0</v>
      </c>
      <c r="AA21" s="67">
        <f t="shared" ref="AA21:AA33" si="10">AA20+B21+C21</f>
        <v>0</v>
      </c>
      <c r="AB21" s="67">
        <f t="shared" ref="AB21:AB31" si="11">ALVMAX/360*V21</f>
        <v>24700</v>
      </c>
      <c r="AC21" s="67">
        <f t="shared" ref="AC21:AC33" si="12">(ALVMAX2/360*V21)-AB21</f>
        <v>16641966.500000002</v>
      </c>
    </row>
    <row r="22" spans="1:29" x14ac:dyDescent="0.3">
      <c r="A22" s="68">
        <v>38442</v>
      </c>
      <c r="B22" s="69"/>
      <c r="C22" s="69"/>
      <c r="D22" s="69"/>
      <c r="E22" s="69"/>
      <c r="F22" s="70">
        <f t="shared" si="3"/>
        <v>0</v>
      </c>
      <c r="G22" s="71">
        <f t="shared" si="4"/>
        <v>0</v>
      </c>
      <c r="H22" s="71">
        <f t="shared" si="0"/>
        <v>0</v>
      </c>
      <c r="I22" s="69"/>
      <c r="J22" s="71">
        <f t="shared" si="1"/>
        <v>0</v>
      </c>
      <c r="K22" s="71">
        <f t="shared" si="2"/>
        <v>0</v>
      </c>
      <c r="L22" s="69"/>
      <c r="M22" s="69"/>
      <c r="N22" s="71">
        <f t="shared" si="5"/>
        <v>0</v>
      </c>
      <c r="O22" s="69"/>
      <c r="P22" s="70">
        <f t="shared" si="6"/>
        <v>0</v>
      </c>
      <c r="Q22" s="41">
        <f>R21+1</f>
        <v>45717</v>
      </c>
      <c r="R22" s="41">
        <f>Q22+30</f>
        <v>45747</v>
      </c>
      <c r="S22" s="41">
        <f t="shared" si="7"/>
        <v>45717</v>
      </c>
      <c r="T22" s="41">
        <f t="shared" si="8"/>
        <v>45747</v>
      </c>
      <c r="U22" s="73">
        <f>IF(S22=0,0,IF(T22=R21,DAYS360(S22,T22,1)+3,DAYS360(S22,T22,1)+1))</f>
        <v>30</v>
      </c>
      <c r="V22" s="73">
        <f t="shared" ref="V22:V31" si="13">V21+U22</f>
        <v>90</v>
      </c>
      <c r="W22" s="67">
        <f>IF(AA22&gt;AB22,AB22-Y21,AA22-Y21)</f>
        <v>0</v>
      </c>
      <c r="X22" s="67">
        <f t="shared" ref="X22:X33" si="14">IF(AA22&lt;(AB22),0,IF(AA22&gt;(AB22+AC22),AC22-Z21,AA22-Z21-AB22))</f>
        <v>0</v>
      </c>
      <c r="Y22" s="67">
        <f t="shared" si="9"/>
        <v>0</v>
      </c>
      <c r="Z22" s="67">
        <f t="shared" ref="Z22:Z33" si="15">X22+Z21</f>
        <v>0</v>
      </c>
      <c r="AA22" s="67">
        <f t="shared" si="10"/>
        <v>0</v>
      </c>
      <c r="AB22" s="67">
        <f t="shared" si="11"/>
        <v>37050</v>
      </c>
      <c r="AC22" s="67">
        <f t="shared" si="12"/>
        <v>24962949.750000004</v>
      </c>
    </row>
    <row r="23" spans="1:29" x14ac:dyDescent="0.3">
      <c r="A23" s="68">
        <v>38472</v>
      </c>
      <c r="B23" s="69"/>
      <c r="C23" s="69"/>
      <c r="D23" s="69"/>
      <c r="E23" s="69"/>
      <c r="F23" s="70">
        <f t="shared" si="3"/>
        <v>0</v>
      </c>
      <c r="G23" s="71">
        <f t="shared" si="4"/>
        <v>0</v>
      </c>
      <c r="H23" s="71">
        <f t="shared" si="0"/>
        <v>0</v>
      </c>
      <c r="I23" s="69"/>
      <c r="J23" s="71">
        <f t="shared" si="1"/>
        <v>0</v>
      </c>
      <c r="K23" s="71">
        <f t="shared" si="2"/>
        <v>0</v>
      </c>
      <c r="L23" s="69"/>
      <c r="M23" s="69"/>
      <c r="N23" s="71">
        <f t="shared" si="5"/>
        <v>0</v>
      </c>
      <c r="O23" s="69"/>
      <c r="P23" s="70">
        <f t="shared" si="6"/>
        <v>0</v>
      </c>
      <c r="Q23" s="41">
        <f t="shared" ref="Q23:Q31" si="16">R22+1</f>
        <v>45748</v>
      </c>
      <c r="R23" s="41">
        <f>Q23+29</f>
        <v>45777</v>
      </c>
      <c r="S23" s="41">
        <f t="shared" si="7"/>
        <v>45748</v>
      </c>
      <c r="T23" s="41">
        <f t="shared" si="8"/>
        <v>45777</v>
      </c>
      <c r="U23" s="73">
        <f t="shared" ref="U23:U31" si="17">IF(S23=0,0,DAYS360(S23,T23,1)+1)</f>
        <v>30</v>
      </c>
      <c r="V23" s="73">
        <f t="shared" si="13"/>
        <v>120</v>
      </c>
      <c r="W23" s="67">
        <f t="shared" ref="W23:W33" si="18">IF(AA23&gt;AB23,AB23-Y22,AA23-Y22)</f>
        <v>0</v>
      </c>
      <c r="X23" s="67">
        <f t="shared" si="14"/>
        <v>0</v>
      </c>
      <c r="Y23" s="67">
        <f t="shared" si="9"/>
        <v>0</v>
      </c>
      <c r="Z23" s="67">
        <f t="shared" si="15"/>
        <v>0</v>
      </c>
      <c r="AA23" s="67">
        <f t="shared" si="10"/>
        <v>0</v>
      </c>
      <c r="AB23" s="67">
        <f t="shared" si="11"/>
        <v>49400</v>
      </c>
      <c r="AC23" s="67">
        <f t="shared" si="12"/>
        <v>33283933.000000004</v>
      </c>
    </row>
    <row r="24" spans="1:29" x14ac:dyDescent="0.3">
      <c r="A24" s="68">
        <v>38503</v>
      </c>
      <c r="B24" s="69"/>
      <c r="C24" s="69"/>
      <c r="D24" s="69"/>
      <c r="E24" s="69"/>
      <c r="F24" s="70">
        <f t="shared" si="3"/>
        <v>0</v>
      </c>
      <c r="G24" s="71">
        <f t="shared" si="4"/>
        <v>0</v>
      </c>
      <c r="H24" s="71">
        <f t="shared" si="0"/>
        <v>0</v>
      </c>
      <c r="I24" s="69"/>
      <c r="J24" s="71">
        <f t="shared" si="1"/>
        <v>0</v>
      </c>
      <c r="K24" s="71">
        <f t="shared" si="2"/>
        <v>0</v>
      </c>
      <c r="L24" s="69"/>
      <c r="M24" s="69"/>
      <c r="N24" s="71">
        <f t="shared" si="5"/>
        <v>0</v>
      </c>
      <c r="O24" s="69"/>
      <c r="P24" s="70">
        <f t="shared" si="6"/>
        <v>0</v>
      </c>
      <c r="Q24" s="41">
        <f t="shared" si="16"/>
        <v>45778</v>
      </c>
      <c r="R24" s="41">
        <f>Q24+30</f>
        <v>45808</v>
      </c>
      <c r="S24" s="41">
        <f t="shared" si="7"/>
        <v>45778</v>
      </c>
      <c r="T24" s="41">
        <f t="shared" si="8"/>
        <v>45808</v>
      </c>
      <c r="U24" s="73">
        <f t="shared" si="17"/>
        <v>30</v>
      </c>
      <c r="V24" s="73">
        <f t="shared" si="13"/>
        <v>150</v>
      </c>
      <c r="W24" s="67">
        <f t="shared" si="18"/>
        <v>0</v>
      </c>
      <c r="X24" s="67">
        <f t="shared" si="14"/>
        <v>0</v>
      </c>
      <c r="Y24" s="67">
        <f t="shared" si="9"/>
        <v>0</v>
      </c>
      <c r="Z24" s="67">
        <f t="shared" si="15"/>
        <v>0</v>
      </c>
      <c r="AA24" s="67">
        <f t="shared" si="10"/>
        <v>0</v>
      </c>
      <c r="AB24" s="67">
        <f t="shared" si="11"/>
        <v>61750</v>
      </c>
      <c r="AC24" s="67">
        <f t="shared" si="12"/>
        <v>41604916.25</v>
      </c>
    </row>
    <row r="25" spans="1:29" x14ac:dyDescent="0.3">
      <c r="A25" s="68">
        <v>38533</v>
      </c>
      <c r="B25" s="69"/>
      <c r="C25" s="69"/>
      <c r="D25" s="69"/>
      <c r="E25" s="69"/>
      <c r="F25" s="70">
        <f t="shared" si="3"/>
        <v>0</v>
      </c>
      <c r="G25" s="71">
        <f t="shared" si="4"/>
        <v>0</v>
      </c>
      <c r="H25" s="71">
        <f t="shared" si="0"/>
        <v>0</v>
      </c>
      <c r="I25" s="69"/>
      <c r="J25" s="71">
        <f t="shared" si="1"/>
        <v>0</v>
      </c>
      <c r="K25" s="71">
        <f t="shared" si="2"/>
        <v>0</v>
      </c>
      <c r="L25" s="69"/>
      <c r="M25" s="69"/>
      <c r="N25" s="71">
        <f t="shared" si="5"/>
        <v>0</v>
      </c>
      <c r="O25" s="69"/>
      <c r="P25" s="70">
        <f t="shared" si="6"/>
        <v>0</v>
      </c>
      <c r="Q25" s="41">
        <f t="shared" si="16"/>
        <v>45809</v>
      </c>
      <c r="R25" s="41">
        <f>Q25+29</f>
        <v>45838</v>
      </c>
      <c r="S25" s="41">
        <f t="shared" si="7"/>
        <v>45809</v>
      </c>
      <c r="T25" s="41">
        <f t="shared" si="8"/>
        <v>45838</v>
      </c>
      <c r="U25" s="73">
        <f t="shared" si="17"/>
        <v>30</v>
      </c>
      <c r="V25" s="73">
        <f t="shared" si="13"/>
        <v>180</v>
      </c>
      <c r="W25" s="67">
        <f t="shared" si="18"/>
        <v>0</v>
      </c>
      <c r="X25" s="67">
        <f t="shared" si="14"/>
        <v>0</v>
      </c>
      <c r="Y25" s="67">
        <f t="shared" si="9"/>
        <v>0</v>
      </c>
      <c r="Z25" s="67">
        <f t="shared" si="15"/>
        <v>0</v>
      </c>
      <c r="AA25" s="67">
        <f t="shared" si="10"/>
        <v>0</v>
      </c>
      <c r="AB25" s="67">
        <f t="shared" si="11"/>
        <v>74100</v>
      </c>
      <c r="AC25" s="67">
        <f t="shared" si="12"/>
        <v>49925899.500000007</v>
      </c>
    </row>
    <row r="26" spans="1:29" x14ac:dyDescent="0.3">
      <c r="A26" s="68">
        <v>38564</v>
      </c>
      <c r="B26" s="69"/>
      <c r="C26" s="69"/>
      <c r="D26" s="69"/>
      <c r="E26" s="69"/>
      <c r="F26" s="70">
        <f t="shared" si="3"/>
        <v>0</v>
      </c>
      <c r="G26" s="71">
        <f t="shared" si="4"/>
        <v>0</v>
      </c>
      <c r="H26" s="71">
        <f t="shared" si="0"/>
        <v>0</v>
      </c>
      <c r="I26" s="69"/>
      <c r="J26" s="71">
        <f t="shared" si="1"/>
        <v>0</v>
      </c>
      <c r="K26" s="71">
        <f t="shared" si="2"/>
        <v>0</v>
      </c>
      <c r="L26" s="69"/>
      <c r="M26" s="69"/>
      <c r="N26" s="71">
        <f t="shared" si="5"/>
        <v>0</v>
      </c>
      <c r="O26" s="69"/>
      <c r="P26" s="70">
        <f t="shared" si="6"/>
        <v>0</v>
      </c>
      <c r="Q26" s="41">
        <f t="shared" si="16"/>
        <v>45839</v>
      </c>
      <c r="R26" s="41">
        <f>Q26+30</f>
        <v>45869</v>
      </c>
      <c r="S26" s="41">
        <f t="shared" si="7"/>
        <v>45839</v>
      </c>
      <c r="T26" s="41">
        <f t="shared" si="8"/>
        <v>45869</v>
      </c>
      <c r="U26" s="73">
        <f t="shared" si="17"/>
        <v>30</v>
      </c>
      <c r="V26" s="73">
        <f t="shared" si="13"/>
        <v>210</v>
      </c>
      <c r="W26" s="67">
        <f t="shared" si="18"/>
        <v>0</v>
      </c>
      <c r="X26" s="67">
        <f t="shared" si="14"/>
        <v>0</v>
      </c>
      <c r="Y26" s="67">
        <f t="shared" si="9"/>
        <v>0</v>
      </c>
      <c r="Z26" s="67">
        <f t="shared" si="15"/>
        <v>0</v>
      </c>
      <c r="AA26" s="67">
        <f t="shared" si="10"/>
        <v>0</v>
      </c>
      <c r="AB26" s="67">
        <f t="shared" si="11"/>
        <v>86450</v>
      </c>
      <c r="AC26" s="67">
        <f t="shared" si="12"/>
        <v>58246882.750000007</v>
      </c>
    </row>
    <row r="27" spans="1:29" x14ac:dyDescent="0.3">
      <c r="A27" s="68">
        <v>38595</v>
      </c>
      <c r="B27" s="69"/>
      <c r="C27" s="69"/>
      <c r="D27" s="69"/>
      <c r="E27" s="69"/>
      <c r="F27" s="70">
        <f t="shared" si="3"/>
        <v>0</v>
      </c>
      <c r="G27" s="71">
        <f t="shared" si="4"/>
        <v>0</v>
      </c>
      <c r="H27" s="71">
        <f t="shared" si="0"/>
        <v>0</v>
      </c>
      <c r="I27" s="69"/>
      <c r="J27" s="71">
        <f t="shared" si="1"/>
        <v>0</v>
      </c>
      <c r="K27" s="71">
        <f t="shared" si="2"/>
        <v>0</v>
      </c>
      <c r="L27" s="69"/>
      <c r="M27" s="69"/>
      <c r="N27" s="71">
        <f t="shared" si="5"/>
        <v>0</v>
      </c>
      <c r="O27" s="69"/>
      <c r="P27" s="70">
        <f t="shared" si="6"/>
        <v>0</v>
      </c>
      <c r="Q27" s="41">
        <f t="shared" si="16"/>
        <v>45870</v>
      </c>
      <c r="R27" s="41">
        <f>Q27+30</f>
        <v>45900</v>
      </c>
      <c r="S27" s="41">
        <f t="shared" si="7"/>
        <v>45870</v>
      </c>
      <c r="T27" s="41">
        <f t="shared" si="8"/>
        <v>45900</v>
      </c>
      <c r="U27" s="73">
        <f t="shared" si="17"/>
        <v>30</v>
      </c>
      <c r="V27" s="73">
        <f t="shared" si="13"/>
        <v>240</v>
      </c>
      <c r="W27" s="67">
        <f t="shared" si="18"/>
        <v>0</v>
      </c>
      <c r="X27" s="67">
        <f t="shared" si="14"/>
        <v>0</v>
      </c>
      <c r="Y27" s="67">
        <f t="shared" si="9"/>
        <v>0</v>
      </c>
      <c r="Z27" s="67">
        <f t="shared" si="15"/>
        <v>0</v>
      </c>
      <c r="AA27" s="67">
        <f t="shared" si="10"/>
        <v>0</v>
      </c>
      <c r="AB27" s="67">
        <f t="shared" si="11"/>
        <v>98800</v>
      </c>
      <c r="AC27" s="67">
        <f t="shared" si="12"/>
        <v>66567866.000000007</v>
      </c>
    </row>
    <row r="28" spans="1:29" x14ac:dyDescent="0.3">
      <c r="A28" s="68">
        <v>38625</v>
      </c>
      <c r="B28" s="69"/>
      <c r="C28" s="69"/>
      <c r="D28" s="69"/>
      <c r="E28" s="69"/>
      <c r="F28" s="70">
        <f t="shared" si="3"/>
        <v>0</v>
      </c>
      <c r="G28" s="71">
        <f t="shared" si="4"/>
        <v>0</v>
      </c>
      <c r="H28" s="71">
        <f t="shared" si="0"/>
        <v>0</v>
      </c>
      <c r="I28" s="69"/>
      <c r="J28" s="71">
        <f t="shared" si="1"/>
        <v>0</v>
      </c>
      <c r="K28" s="71">
        <f t="shared" si="2"/>
        <v>0</v>
      </c>
      <c r="L28" s="69"/>
      <c r="M28" s="69"/>
      <c r="N28" s="71">
        <f t="shared" si="5"/>
        <v>0</v>
      </c>
      <c r="O28" s="69"/>
      <c r="P28" s="70">
        <f t="shared" si="6"/>
        <v>0</v>
      </c>
      <c r="Q28" s="41">
        <f t="shared" si="16"/>
        <v>45901</v>
      </c>
      <c r="R28" s="41">
        <f>Q28+29</f>
        <v>45930</v>
      </c>
      <c r="S28" s="41">
        <f t="shared" si="7"/>
        <v>45901</v>
      </c>
      <c r="T28" s="41">
        <f t="shared" si="8"/>
        <v>45930</v>
      </c>
      <c r="U28" s="73">
        <f t="shared" si="17"/>
        <v>30</v>
      </c>
      <c r="V28" s="73">
        <f t="shared" si="13"/>
        <v>270</v>
      </c>
      <c r="W28" s="67">
        <f t="shared" si="18"/>
        <v>0</v>
      </c>
      <c r="X28" s="67">
        <f t="shared" si="14"/>
        <v>0</v>
      </c>
      <c r="Y28" s="67">
        <f t="shared" si="9"/>
        <v>0</v>
      </c>
      <c r="Z28" s="67">
        <f t="shared" si="15"/>
        <v>0</v>
      </c>
      <c r="AA28" s="67">
        <f t="shared" si="10"/>
        <v>0</v>
      </c>
      <c r="AB28" s="67">
        <f t="shared" si="11"/>
        <v>111150</v>
      </c>
      <c r="AC28" s="67">
        <f t="shared" si="12"/>
        <v>74888849.25</v>
      </c>
    </row>
    <row r="29" spans="1:29" x14ac:dyDescent="0.3">
      <c r="A29" s="68">
        <v>38656</v>
      </c>
      <c r="B29" s="69"/>
      <c r="C29" s="69"/>
      <c r="D29" s="69"/>
      <c r="E29" s="69"/>
      <c r="F29" s="70">
        <f t="shared" si="3"/>
        <v>0</v>
      </c>
      <c r="G29" s="71">
        <f t="shared" si="4"/>
        <v>0</v>
      </c>
      <c r="H29" s="71">
        <f t="shared" si="0"/>
        <v>0</v>
      </c>
      <c r="I29" s="69"/>
      <c r="J29" s="71">
        <f t="shared" si="1"/>
        <v>0</v>
      </c>
      <c r="K29" s="71">
        <f t="shared" si="2"/>
        <v>0</v>
      </c>
      <c r="L29" s="69"/>
      <c r="M29" s="69"/>
      <c r="N29" s="71">
        <f t="shared" si="5"/>
        <v>0</v>
      </c>
      <c r="O29" s="69"/>
      <c r="P29" s="70">
        <f t="shared" si="6"/>
        <v>0</v>
      </c>
      <c r="Q29" s="41">
        <f t="shared" si="16"/>
        <v>45931</v>
      </c>
      <c r="R29" s="41">
        <f>Q29+30</f>
        <v>45961</v>
      </c>
      <c r="S29" s="41">
        <f t="shared" si="7"/>
        <v>45931</v>
      </c>
      <c r="T29" s="41">
        <f t="shared" si="8"/>
        <v>45961</v>
      </c>
      <c r="U29" s="73">
        <f t="shared" si="17"/>
        <v>30</v>
      </c>
      <c r="V29" s="73">
        <f t="shared" si="13"/>
        <v>300</v>
      </c>
      <c r="W29" s="67">
        <f t="shared" si="18"/>
        <v>0</v>
      </c>
      <c r="X29" s="67">
        <f t="shared" si="14"/>
        <v>0</v>
      </c>
      <c r="Y29" s="67">
        <f t="shared" si="9"/>
        <v>0</v>
      </c>
      <c r="Z29" s="67">
        <f t="shared" si="15"/>
        <v>0</v>
      </c>
      <c r="AA29" s="67">
        <f t="shared" si="10"/>
        <v>0</v>
      </c>
      <c r="AB29" s="67">
        <f t="shared" si="11"/>
        <v>123500</v>
      </c>
      <c r="AC29" s="67">
        <f t="shared" si="12"/>
        <v>83209832.5</v>
      </c>
    </row>
    <row r="30" spans="1:29" x14ac:dyDescent="0.3">
      <c r="A30" s="68">
        <v>38686</v>
      </c>
      <c r="B30" s="69"/>
      <c r="C30" s="69"/>
      <c r="D30" s="69"/>
      <c r="E30" s="69"/>
      <c r="F30" s="70">
        <f t="shared" si="3"/>
        <v>0</v>
      </c>
      <c r="G30" s="71">
        <f t="shared" si="4"/>
        <v>0</v>
      </c>
      <c r="H30" s="71">
        <f t="shared" si="0"/>
        <v>0</v>
      </c>
      <c r="I30" s="69"/>
      <c r="J30" s="71">
        <f t="shared" si="1"/>
        <v>0</v>
      </c>
      <c r="K30" s="71">
        <f t="shared" si="2"/>
        <v>0</v>
      </c>
      <c r="L30" s="69"/>
      <c r="M30" s="69"/>
      <c r="N30" s="71">
        <f t="shared" si="5"/>
        <v>0</v>
      </c>
      <c r="O30" s="69"/>
      <c r="P30" s="70">
        <f t="shared" si="6"/>
        <v>0</v>
      </c>
      <c r="Q30" s="41">
        <f t="shared" si="16"/>
        <v>45962</v>
      </c>
      <c r="R30" s="41">
        <f>Q30+29</f>
        <v>45991</v>
      </c>
      <c r="S30" s="41">
        <f t="shared" si="7"/>
        <v>45962</v>
      </c>
      <c r="T30" s="41">
        <f t="shared" si="8"/>
        <v>45991</v>
      </c>
      <c r="U30" s="73">
        <f t="shared" si="17"/>
        <v>30</v>
      </c>
      <c r="V30" s="73">
        <f t="shared" si="13"/>
        <v>330</v>
      </c>
      <c r="W30" s="67">
        <f t="shared" si="18"/>
        <v>0</v>
      </c>
      <c r="X30" s="67">
        <f t="shared" si="14"/>
        <v>0</v>
      </c>
      <c r="Y30" s="67">
        <f t="shared" si="9"/>
        <v>0</v>
      </c>
      <c r="Z30" s="67">
        <f t="shared" si="15"/>
        <v>0</v>
      </c>
      <c r="AA30" s="67">
        <f t="shared" si="10"/>
        <v>0</v>
      </c>
      <c r="AB30" s="67">
        <f t="shared" si="11"/>
        <v>135850</v>
      </c>
      <c r="AC30" s="67">
        <f t="shared" si="12"/>
        <v>91530815.750000015</v>
      </c>
    </row>
    <row r="31" spans="1:29" x14ac:dyDescent="0.3">
      <c r="A31" s="68">
        <v>38717</v>
      </c>
      <c r="B31" s="69"/>
      <c r="C31" s="69"/>
      <c r="D31" s="69"/>
      <c r="E31" s="69"/>
      <c r="F31" s="70">
        <f t="shared" si="3"/>
        <v>0</v>
      </c>
      <c r="G31" s="71">
        <f t="shared" si="4"/>
        <v>0</v>
      </c>
      <c r="H31" s="71">
        <f t="shared" si="0"/>
        <v>0</v>
      </c>
      <c r="I31" s="69"/>
      <c r="J31" s="71">
        <f t="shared" si="1"/>
        <v>0</v>
      </c>
      <c r="K31" s="71">
        <f t="shared" si="2"/>
        <v>0</v>
      </c>
      <c r="L31" s="69"/>
      <c r="M31" s="69"/>
      <c r="N31" s="71">
        <f t="shared" si="5"/>
        <v>0</v>
      </c>
      <c r="O31" s="69"/>
      <c r="P31" s="70">
        <f t="shared" si="6"/>
        <v>0</v>
      </c>
      <c r="Q31" s="41">
        <f t="shared" si="16"/>
        <v>45992</v>
      </c>
      <c r="R31" s="41">
        <f>Q31+30</f>
        <v>46022</v>
      </c>
      <c r="S31" s="41">
        <f t="shared" si="7"/>
        <v>45992</v>
      </c>
      <c r="T31" s="41">
        <f t="shared" si="8"/>
        <v>46022</v>
      </c>
      <c r="U31" s="73">
        <f t="shared" si="17"/>
        <v>30</v>
      </c>
      <c r="V31" s="73">
        <f t="shared" si="13"/>
        <v>360</v>
      </c>
      <c r="W31" s="67">
        <f t="shared" si="18"/>
        <v>0</v>
      </c>
      <c r="X31" s="67">
        <f t="shared" si="14"/>
        <v>0</v>
      </c>
      <c r="Y31" s="67">
        <f t="shared" si="9"/>
        <v>0</v>
      </c>
      <c r="Z31" s="67">
        <f t="shared" si="15"/>
        <v>0</v>
      </c>
      <c r="AA31" s="67">
        <f t="shared" si="10"/>
        <v>0</v>
      </c>
      <c r="AB31" s="67">
        <f t="shared" si="11"/>
        <v>148200</v>
      </c>
      <c r="AC31" s="67">
        <f t="shared" si="12"/>
        <v>99851799.000000015</v>
      </c>
    </row>
    <row r="32" spans="1:29" x14ac:dyDescent="0.3">
      <c r="A32" s="74" t="s">
        <v>20</v>
      </c>
      <c r="B32" s="69"/>
      <c r="C32" s="69"/>
      <c r="D32" s="69"/>
      <c r="E32" s="69"/>
      <c r="F32" s="70">
        <f t="shared" si="3"/>
        <v>0</v>
      </c>
      <c r="G32" s="71">
        <f t="shared" si="4"/>
        <v>0</v>
      </c>
      <c r="H32" s="71">
        <f t="shared" si="0"/>
        <v>0</v>
      </c>
      <c r="I32" s="69"/>
      <c r="J32" s="71">
        <f t="shared" si="1"/>
        <v>0</v>
      </c>
      <c r="K32" s="71">
        <f t="shared" si="2"/>
        <v>0</v>
      </c>
      <c r="L32" s="69"/>
      <c r="M32" s="69"/>
      <c r="N32" s="71">
        <f t="shared" si="5"/>
        <v>0</v>
      </c>
      <c r="O32" s="69"/>
      <c r="P32" s="70">
        <f t="shared" si="6"/>
        <v>0</v>
      </c>
      <c r="Q32" s="41"/>
      <c r="R32" s="41"/>
      <c r="U32" s="73">
        <f>IF(S32=0,0,DAYS360(S32,T32,1)+1)</f>
        <v>0</v>
      </c>
      <c r="V32" s="73">
        <f>V31+U32</f>
        <v>360</v>
      </c>
      <c r="W32" s="67">
        <f t="shared" si="18"/>
        <v>0</v>
      </c>
      <c r="X32" s="67">
        <f t="shared" si="14"/>
        <v>0</v>
      </c>
      <c r="Y32" s="67">
        <f t="shared" si="9"/>
        <v>0</v>
      </c>
      <c r="Z32" s="67">
        <f t="shared" si="15"/>
        <v>0</v>
      </c>
      <c r="AA32" s="67">
        <f t="shared" si="10"/>
        <v>0</v>
      </c>
      <c r="AB32" s="67">
        <f>ALVMAX/360*V32</f>
        <v>148200</v>
      </c>
      <c r="AC32" s="67">
        <f t="shared" si="12"/>
        <v>99851799.000000015</v>
      </c>
    </row>
    <row r="33" spans="1:29" x14ac:dyDescent="0.3">
      <c r="A33" s="75" t="s">
        <v>21</v>
      </c>
      <c r="B33" s="69"/>
      <c r="C33" s="69"/>
      <c r="D33" s="69"/>
      <c r="E33" s="69"/>
      <c r="F33" s="70">
        <f t="shared" si="3"/>
        <v>0</v>
      </c>
      <c r="G33" s="71">
        <f t="shared" si="4"/>
        <v>0</v>
      </c>
      <c r="H33" s="71">
        <f t="shared" si="0"/>
        <v>0</v>
      </c>
      <c r="I33" s="69"/>
      <c r="J33" s="71">
        <f t="shared" si="1"/>
        <v>0</v>
      </c>
      <c r="K33" s="71">
        <f t="shared" si="2"/>
        <v>0</v>
      </c>
      <c r="L33" s="69"/>
      <c r="M33" s="69"/>
      <c r="N33" s="71">
        <f t="shared" si="5"/>
        <v>0</v>
      </c>
      <c r="O33" s="69"/>
      <c r="P33" s="70">
        <f t="shared" si="6"/>
        <v>0</v>
      </c>
      <c r="Q33" s="41"/>
      <c r="R33" s="41"/>
      <c r="U33" s="73">
        <f>IF(S33=0,0,DAYS360(S33,T33,1)+1)</f>
        <v>0</v>
      </c>
      <c r="V33" s="73">
        <f>V32+U33</f>
        <v>360</v>
      </c>
      <c r="W33" s="67">
        <f t="shared" si="18"/>
        <v>0</v>
      </c>
      <c r="X33" s="67">
        <f t="shared" si="14"/>
        <v>0</v>
      </c>
      <c r="Y33" s="67">
        <f t="shared" si="9"/>
        <v>0</v>
      </c>
      <c r="Z33" s="67">
        <f t="shared" si="15"/>
        <v>0</v>
      </c>
      <c r="AA33" s="67">
        <f t="shared" si="10"/>
        <v>0</v>
      </c>
      <c r="AB33" s="67">
        <f>ALVMAX/360*V33</f>
        <v>148200</v>
      </c>
      <c r="AC33" s="67">
        <f t="shared" si="12"/>
        <v>99851799.000000015</v>
      </c>
    </row>
    <row r="34" spans="1:29" s="16" customFormat="1" x14ac:dyDescent="0.3">
      <c r="A34" s="63"/>
      <c r="B34" s="63"/>
      <c r="C34" s="63"/>
      <c r="D34" s="63"/>
      <c r="E34" s="63"/>
      <c r="F34" s="63"/>
      <c r="G34" s="66"/>
      <c r="H34" s="66"/>
      <c r="I34" s="63"/>
      <c r="J34" s="66"/>
      <c r="K34" s="66"/>
      <c r="L34" s="66"/>
      <c r="M34" s="66"/>
      <c r="N34" s="63"/>
      <c r="O34" s="63"/>
      <c r="P34" s="63"/>
      <c r="U34" s="76"/>
      <c r="V34" s="76"/>
      <c r="W34" s="76"/>
      <c r="X34" s="76"/>
      <c r="Y34" s="76"/>
      <c r="Z34" s="67"/>
    </row>
    <row r="35" spans="1:29" s="26" customFormat="1" ht="17.25" thickBot="1" x14ac:dyDescent="0.35">
      <c r="A35" s="77" t="s">
        <v>0</v>
      </c>
      <c r="B35" s="78">
        <f>SUM(B20:B33)</f>
        <v>0</v>
      </c>
      <c r="C35" s="78">
        <f t="shared" ref="C35:P35" si="19">SUM(C20:C33)</f>
        <v>0</v>
      </c>
      <c r="D35" s="78">
        <f t="shared" si="19"/>
        <v>0</v>
      </c>
      <c r="E35" s="78">
        <f t="shared" si="19"/>
        <v>0</v>
      </c>
      <c r="F35" s="78">
        <f t="shared" si="19"/>
        <v>0</v>
      </c>
      <c r="G35" s="78">
        <f t="shared" si="19"/>
        <v>0</v>
      </c>
      <c r="H35" s="78">
        <f t="shared" si="19"/>
        <v>0</v>
      </c>
      <c r="I35" s="78">
        <f t="shared" si="19"/>
        <v>0</v>
      </c>
      <c r="J35" s="78">
        <f t="shared" si="19"/>
        <v>0</v>
      </c>
      <c r="K35" s="78">
        <f t="shared" si="19"/>
        <v>0</v>
      </c>
      <c r="L35" s="78">
        <f t="shared" si="19"/>
        <v>0</v>
      </c>
      <c r="M35" s="78">
        <f t="shared" si="19"/>
        <v>0</v>
      </c>
      <c r="N35" s="78">
        <f t="shared" si="19"/>
        <v>0</v>
      </c>
      <c r="O35" s="78">
        <f t="shared" si="19"/>
        <v>0</v>
      </c>
      <c r="P35" s="78">
        <f t="shared" si="19"/>
        <v>0</v>
      </c>
      <c r="Q35" s="79"/>
      <c r="U35" s="80">
        <f>SUM(U20:U34)</f>
        <v>360</v>
      </c>
      <c r="V35" s="80"/>
      <c r="W35" s="67">
        <f>SUM(W20:W31)</f>
        <v>0</v>
      </c>
      <c r="X35" s="67">
        <f>SUM(X20:X31)</f>
        <v>0</v>
      </c>
      <c r="Y35" s="80"/>
      <c r="Z35" s="80"/>
    </row>
    <row r="36" spans="1:29" s="81" customFormat="1" ht="15.75" customHeight="1" thickTop="1" x14ac:dyDescent="0.15">
      <c r="B36" s="82"/>
      <c r="C36" s="82"/>
      <c r="D36" s="82"/>
      <c r="E36" s="82"/>
      <c r="F36" s="98" t="str">
        <f>IF(H36="","","Total AHV+ALV:")</f>
        <v/>
      </c>
      <c r="G36" s="98"/>
      <c r="H36" s="139" t="str">
        <f>IF(G35=0,"",G35+H35)</f>
        <v/>
      </c>
      <c r="I36" s="98" t="str">
        <f>IF(H36="","","Total AHV+ALV+NBU:")</f>
        <v/>
      </c>
      <c r="J36" s="98"/>
      <c r="K36" s="98"/>
      <c r="L36" s="139" t="str">
        <f>IF(G35=0,"",H36+J35)</f>
        <v/>
      </c>
      <c r="M36" s="82"/>
      <c r="N36" s="82"/>
      <c r="O36" s="82"/>
      <c r="P36" s="82"/>
      <c r="Q36" s="82"/>
      <c r="R36" s="82"/>
      <c r="V36" s="83"/>
      <c r="W36" s="83"/>
      <c r="X36" s="83"/>
      <c r="Y36" s="83"/>
      <c r="Z36" s="83"/>
      <c r="AA36" s="83"/>
    </row>
    <row r="37" spans="1:29" x14ac:dyDescent="0.3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29" x14ac:dyDescent="0.3">
      <c r="A38" s="26" t="s">
        <v>35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1:29" x14ac:dyDescent="0.3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28"/>
      <c r="R39" s="27"/>
      <c r="S39" s="41">
        <f>R31+1</f>
        <v>46023</v>
      </c>
    </row>
    <row r="40" spans="1:29" x14ac:dyDescent="0.3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28"/>
      <c r="R40" s="27"/>
    </row>
    <row r="41" spans="1:29" x14ac:dyDescent="0.3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28"/>
      <c r="R41" s="27"/>
    </row>
    <row r="42" spans="1:29" x14ac:dyDescent="0.3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28"/>
      <c r="R42" s="27"/>
    </row>
    <row r="43" spans="1:29" x14ac:dyDescent="0.3">
      <c r="A43" s="113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88"/>
      <c r="R43" s="27"/>
    </row>
    <row r="44" spans="1:29" x14ac:dyDescent="0.3">
      <c r="A44" s="113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28"/>
    </row>
    <row r="45" spans="1:29" x14ac:dyDescent="0.3">
      <c r="A45" s="113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28"/>
    </row>
    <row r="46" spans="1:29" x14ac:dyDescent="0.3">
      <c r="A46" s="113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28"/>
    </row>
    <row r="47" spans="1:29" x14ac:dyDescent="0.3">
      <c r="A47" s="113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28"/>
    </row>
    <row r="48" spans="1:29" x14ac:dyDescent="0.3">
      <c r="Q48" s="28"/>
    </row>
    <row r="50" spans="1:18" x14ac:dyDescent="0.3">
      <c r="A50" s="26"/>
      <c r="Q50" s="30"/>
    </row>
    <row r="51" spans="1:18" x14ac:dyDescent="0.3">
      <c r="A51" s="29"/>
      <c r="H51" s="84"/>
      <c r="Q51" s="30"/>
    </row>
    <row r="52" spans="1:18" x14ac:dyDescent="0.3">
      <c r="A52" s="31"/>
      <c r="Q52" s="85"/>
    </row>
    <row r="54" spans="1:18" x14ac:dyDescent="0.3">
      <c r="A54" s="26" t="s">
        <v>36</v>
      </c>
      <c r="Q54" s="27"/>
    </row>
    <row r="55" spans="1:18" x14ac:dyDescent="0.3">
      <c r="A55" s="113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28"/>
    </row>
    <row r="56" spans="1:18" s="1" customFormat="1" x14ac:dyDescent="0.3">
      <c r="A56" s="113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28"/>
    </row>
    <row r="57" spans="1:18" s="1" customFormat="1" x14ac:dyDescent="0.3">
      <c r="A57" s="113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28"/>
    </row>
    <row r="58" spans="1:18" x14ac:dyDescent="0.3">
      <c r="A58" s="113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28"/>
      <c r="R58" s="28"/>
    </row>
    <row r="59" spans="1:18" s="1" customFormat="1" x14ac:dyDescent="0.3">
      <c r="A59" s="113"/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28"/>
      <c r="R59" s="28"/>
    </row>
    <row r="60" spans="1:18" s="1" customFormat="1" x14ac:dyDescent="0.3">
      <c r="A60" s="113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28"/>
      <c r="R60" s="28"/>
    </row>
    <row r="61" spans="1:18" x14ac:dyDescent="0.3">
      <c r="A61" s="113"/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28"/>
      <c r="R61" s="28"/>
    </row>
    <row r="62" spans="1:18" s="1" customFormat="1" x14ac:dyDescent="0.3">
      <c r="A62" s="113"/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28"/>
      <c r="R62" s="28"/>
    </row>
    <row r="63" spans="1:18" s="1" customFormat="1" x14ac:dyDescent="0.3">
      <c r="A63" s="113"/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28"/>
      <c r="R63" s="28"/>
    </row>
    <row r="64" spans="1:18" x14ac:dyDescent="0.3">
      <c r="A64" s="113"/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28"/>
      <c r="R64" s="28"/>
    </row>
    <row r="65" spans="1:18" s="1" customFormat="1" x14ac:dyDescent="0.3">
      <c r="A65" s="113"/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28"/>
      <c r="R65" s="28"/>
    </row>
    <row r="66" spans="1:18" s="1" customFormat="1" x14ac:dyDescent="0.3">
      <c r="A66" s="113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28"/>
      <c r="R66" s="28"/>
    </row>
    <row r="67" spans="1:18" s="1" customFormat="1" x14ac:dyDescent="0.3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</row>
    <row r="68" spans="1:18" s="1" customFormat="1" x14ac:dyDescent="0.3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x14ac:dyDescent="0.3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</row>
    <row r="70" spans="1:18" x14ac:dyDescent="0.3">
      <c r="R70" s="28"/>
    </row>
  </sheetData>
  <sheetProtection algorithmName="SHA-512" hashValue="2ktXp+sEIob13kA73M3mONiNEMGp/ukbwBLX513+Qfch5wxshpdVCKC4IyDcGdOJpvT8QGQDYC+fYye/QrQh6g==" saltValue="Ph9Z94L5dCbPAalLFcEw1A==" spinCount="100000" sheet="1" objects="1" scenarios="1"/>
  <mergeCells count="52">
    <mergeCell ref="A16:A18"/>
    <mergeCell ref="B16:B18"/>
    <mergeCell ref="K16:K17"/>
    <mergeCell ref="C7:E7"/>
    <mergeCell ref="C10:D10"/>
    <mergeCell ref="C9:D9"/>
    <mergeCell ref="C12:D12"/>
    <mergeCell ref="D15:G15"/>
    <mergeCell ref="C16:C18"/>
    <mergeCell ref="D16:D18"/>
    <mergeCell ref="E16:E18"/>
    <mergeCell ref="H10:L10"/>
    <mergeCell ref="H4:I4"/>
    <mergeCell ref="C5:E5"/>
    <mergeCell ref="H5:I5"/>
    <mergeCell ref="C6:E6"/>
    <mergeCell ref="C4:E4"/>
    <mergeCell ref="S17:T17"/>
    <mergeCell ref="F36:G36"/>
    <mergeCell ref="I36:K36"/>
    <mergeCell ref="L16:L17"/>
    <mergeCell ref="M16:M17"/>
    <mergeCell ref="N16:N18"/>
    <mergeCell ref="O16:O18"/>
    <mergeCell ref="H16:H17"/>
    <mergeCell ref="F16:F18"/>
    <mergeCell ref="Q17:R17"/>
    <mergeCell ref="J16:J17"/>
    <mergeCell ref="I16:I18"/>
    <mergeCell ref="P16:P18"/>
    <mergeCell ref="G16:G17"/>
    <mergeCell ref="A39:P39"/>
    <mergeCell ref="A40:P40"/>
    <mergeCell ref="A41:P41"/>
    <mergeCell ref="A42:P42"/>
    <mergeCell ref="A43:P43"/>
    <mergeCell ref="A44:P44"/>
    <mergeCell ref="A45:P45"/>
    <mergeCell ref="A46:P46"/>
    <mergeCell ref="A47:P47"/>
    <mergeCell ref="A55:P55"/>
    <mergeCell ref="A56:P56"/>
    <mergeCell ref="A57:P57"/>
    <mergeCell ref="A58:P58"/>
    <mergeCell ref="A59:P59"/>
    <mergeCell ref="A60:P60"/>
    <mergeCell ref="A66:P66"/>
    <mergeCell ref="A61:P61"/>
    <mergeCell ref="A62:P62"/>
    <mergeCell ref="A63:P63"/>
    <mergeCell ref="A64:P64"/>
    <mergeCell ref="A65:P65"/>
  </mergeCells>
  <phoneticPr fontId="0" type="noConversion"/>
  <dataValidations count="1">
    <dataValidation type="textLength" operator="equal" allowBlank="1" showInputMessage="1" showErrorMessage="1" errorTitle="Bitte korrigieren:" error="m = männlich_x000a_w = weiblich" sqref="I7" xr:uid="{00000000-0002-0000-0500-000000000000}">
      <formula1>1</formula1>
    </dataValidation>
  </dataValidations>
  <printOptions horizontalCentered="1"/>
  <pageMargins left="1.0629921259842521" right="0.78740157480314965" top="0.59055118110236227" bottom="0.59055118110236227" header="0.51181102362204722" footer="0.31496062992125984"/>
  <pageSetup paperSize="9" scale="63" orientation="landscape" r:id="rId1"/>
  <headerFooter>
    <oddFooter>&amp;L&amp;G&amp;C&amp;"Segoe UI Semilight,Standard"&amp;K1D71B8Bern | Biel/Bienne&amp;R&amp;"Segoe UI Semilight,Standard"&amp;K1D71B8strasser-ag.ch</oddFooter>
  </headerFooter>
  <legacy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A1:AD70"/>
  <sheetViews>
    <sheetView showGridLines="0" zoomScale="90" zoomScaleNormal="90" workbookViewId="0">
      <selection activeCell="B20" sqref="B20"/>
    </sheetView>
  </sheetViews>
  <sheetFormatPr baseColWidth="10" defaultColWidth="11.28515625" defaultRowHeight="16.5" x14ac:dyDescent="0.3"/>
  <cols>
    <col min="1" max="1" width="16" style="25" customWidth="1"/>
    <col min="2" max="15" width="12.140625" style="25" customWidth="1"/>
    <col min="16" max="16" width="11.85546875" style="25" bestFit="1" customWidth="1"/>
    <col min="17" max="17" width="10.7109375" style="25" hidden="1" customWidth="1"/>
    <col min="18" max="18" width="11" style="25" hidden="1" customWidth="1"/>
    <col min="19" max="19" width="10.7109375" style="25" hidden="1" customWidth="1"/>
    <col min="20" max="20" width="11" style="25" hidden="1" customWidth="1"/>
    <col min="21" max="21" width="14.85546875" style="25" hidden="1" customWidth="1"/>
    <col min="22" max="22" width="14.28515625" style="25" hidden="1" customWidth="1"/>
    <col min="23" max="23" width="7.85546875" style="25" hidden="1" customWidth="1"/>
    <col min="24" max="24" width="9.85546875" style="25" hidden="1" customWidth="1"/>
    <col min="25" max="25" width="12.7109375" style="25" hidden="1" customWidth="1"/>
    <col min="26" max="26" width="14" style="25" hidden="1" customWidth="1"/>
    <col min="27" max="27" width="17.5703125" style="25" hidden="1" customWidth="1"/>
    <col min="28" max="28" width="11.5703125" style="25" hidden="1" customWidth="1"/>
    <col min="29" max="30" width="14.28515625" style="25" hidden="1" customWidth="1"/>
    <col min="31" max="31" width="11.28515625" style="25" customWidth="1"/>
    <col min="32" max="16384" width="11.28515625" style="25"/>
  </cols>
  <sheetData>
    <row r="1" spans="1:18" s="34" customFormat="1" ht="20.25" x14ac:dyDescent="0.35">
      <c r="A1" s="32" t="s">
        <v>42</v>
      </c>
      <c r="B1" s="33">
        <f>Jahr</f>
        <v>2025</v>
      </c>
      <c r="P1" s="35">
        <f>Firma</f>
        <v>0</v>
      </c>
    </row>
    <row r="2" spans="1:18" s="34" customFormat="1" ht="20.25" x14ac:dyDescent="0.35">
      <c r="E2" s="36"/>
      <c r="P2" s="35">
        <f>Ort</f>
        <v>0</v>
      </c>
    </row>
    <row r="3" spans="1:18" s="34" customFormat="1" x14ac:dyDescent="0.3">
      <c r="Q3" s="37"/>
    </row>
    <row r="4" spans="1:18" s="34" customFormat="1" x14ac:dyDescent="0.3">
      <c r="A4" s="38" t="s">
        <v>2</v>
      </c>
      <c r="C4" s="134"/>
      <c r="D4" s="134"/>
      <c r="E4" s="134"/>
      <c r="G4" s="39" t="s">
        <v>3</v>
      </c>
      <c r="H4" s="132"/>
      <c r="I4" s="132"/>
      <c r="J4" s="40" t="str">
        <f>IF(H4&gt;R31,"Achtung, ungültiges Datum"," ")</f>
        <v xml:space="preserve"> </v>
      </c>
      <c r="R4" s="41">
        <f>IF(H4&gt;Q20,H4,Q20)</f>
        <v>45658</v>
      </c>
    </row>
    <row r="5" spans="1:18" s="34" customFormat="1" x14ac:dyDescent="0.3">
      <c r="A5" s="38" t="s">
        <v>4</v>
      </c>
      <c r="C5" s="133"/>
      <c r="D5" s="133"/>
      <c r="E5" s="133"/>
      <c r="G5" s="39" t="s">
        <v>5</v>
      </c>
      <c r="H5" s="132"/>
      <c r="I5" s="132"/>
      <c r="J5" s="40" t="str">
        <f>IF(H5=0," ",IF(H5&lt;Q20,"Achtung, ungültiges Datum"," "))</f>
        <v xml:space="preserve"> </v>
      </c>
      <c r="R5" s="41">
        <f>IF(H5=0,R31,IF(H5&gt;R31,R31,H5))</f>
        <v>46022</v>
      </c>
    </row>
    <row r="6" spans="1:18" s="34" customFormat="1" ht="17.649999999999999" customHeight="1" x14ac:dyDescent="0.3">
      <c r="A6" s="38" t="s">
        <v>6</v>
      </c>
      <c r="C6" s="133"/>
      <c r="D6" s="133"/>
      <c r="E6" s="133"/>
      <c r="H6" s="42" t="str">
        <f>IF(H5&lt;H4,IF(H5="","","Achtung: Fehler Eintritt / Austritt"),"")</f>
        <v/>
      </c>
      <c r="I6" s="43"/>
    </row>
    <row r="7" spans="1:18" s="34" customFormat="1" ht="17.649999999999999" customHeight="1" x14ac:dyDescent="0.3">
      <c r="A7" s="38" t="s">
        <v>33</v>
      </c>
      <c r="C7" s="133"/>
      <c r="D7" s="133"/>
      <c r="E7" s="133"/>
      <c r="G7" s="39" t="s">
        <v>7</v>
      </c>
      <c r="I7" s="44"/>
      <c r="J7" s="45" t="str">
        <f>IF(E13=1,IF(I7="M","Achtung: Mitarbeiter wird pensioniert per:",IF(E13=1,"Achtung: Mitarbeiterin wird pensioniert per:","")),"")</f>
        <v/>
      </c>
      <c r="N7" s="46" t="str">
        <f>IF(E13=1,C14," ")</f>
        <v xml:space="preserve"> </v>
      </c>
      <c r="O7" s="46"/>
    </row>
    <row r="8" spans="1:18" s="34" customFormat="1" x14ac:dyDescent="0.3">
      <c r="A8" s="38"/>
      <c r="C8" s="42" t="str">
        <f>IF((B35+C35)&lt;&gt;0,IF(C4="","Achtung: Name, Vorname und Adresse eingeben!",""),"")</f>
        <v/>
      </c>
      <c r="D8" s="37"/>
      <c r="E8" s="37"/>
      <c r="I8" s="42" t="str">
        <f>IF((B35+C35)&lt;&gt;0,IF(I7="","Achtung: 'm' für männlich, 'w' für weiblich eingeben!",""),"")</f>
        <v/>
      </c>
      <c r="K8" s="43"/>
    </row>
    <row r="9" spans="1:18" s="34" customFormat="1" x14ac:dyDescent="0.3">
      <c r="A9" s="38" t="s">
        <v>54</v>
      </c>
      <c r="C9" s="135"/>
      <c r="D9" s="135"/>
      <c r="E9" s="47"/>
      <c r="F9" s="48" t="str">
        <f ca="1">IF(D13&gt;=1,"Referenzalter erreicht ab","")</f>
        <v/>
      </c>
      <c r="G9" s="49" t="str">
        <f ca="1">IF(D13=1,C14, " ")</f>
        <v xml:space="preserve"> </v>
      </c>
      <c r="H9" s="50" t="str">
        <f ca="1">IF(F9&gt;" ","AHV-Freibetrag von Fr. 1'400.-- pro Monat berücksichtigen! Kein ALV-Abzug mehr; Korrektur unter Spalte M oder N","")</f>
        <v/>
      </c>
      <c r="I9" s="1"/>
      <c r="J9" s="1"/>
      <c r="K9" s="1"/>
      <c r="L9" s="1"/>
      <c r="M9" s="1"/>
      <c r="N9" s="1"/>
      <c r="O9" s="1"/>
      <c r="P9" s="1"/>
      <c r="Q9" s="1"/>
    </row>
    <row r="10" spans="1:18" s="34" customFormat="1" x14ac:dyDescent="0.3">
      <c r="A10" s="38" t="s">
        <v>55</v>
      </c>
      <c r="C10" s="135"/>
      <c r="D10" s="135"/>
      <c r="E10" s="37"/>
      <c r="F10" s="45"/>
      <c r="G10" s="51"/>
      <c r="H10" s="137" t="str">
        <f ca="1">IF(H9&gt;" ","Mitarbeitende können neu freiwillig auf den AHV-Freibetrag verzichten","")</f>
        <v/>
      </c>
      <c r="I10" s="137"/>
      <c r="J10" s="137"/>
      <c r="K10" s="137"/>
      <c r="L10" s="137"/>
    </row>
    <row r="11" spans="1:18" s="34" customFormat="1" x14ac:dyDescent="0.3">
      <c r="A11" s="38"/>
      <c r="C11" s="52"/>
      <c r="D11" s="52"/>
      <c r="E11" s="45"/>
      <c r="F11" s="53" t="str">
        <f>IF(F13&lt;18,IF(C13&gt;0,"Achtung:",""),"")</f>
        <v/>
      </c>
      <c r="G11" s="51" t="str">
        <f>IF(F11&gt;" ","Angestellte Person ist unter 18 Jahre!","")</f>
        <v/>
      </c>
      <c r="P11" s="54"/>
    </row>
    <row r="12" spans="1:18" s="34" customFormat="1" x14ac:dyDescent="0.3">
      <c r="A12" s="38" t="s">
        <v>8</v>
      </c>
      <c r="C12" s="136"/>
      <c r="D12" s="136"/>
      <c r="E12" s="45"/>
      <c r="G12" s="51" t="str">
        <f>IF(F11&gt;" ","Lohn unter 'nicht AHV-pflichtig' eintragen und ALV manuell auf 0% stellen!","")</f>
        <v/>
      </c>
    </row>
    <row r="13" spans="1:18" s="34" customFormat="1" hidden="1" x14ac:dyDescent="0.3">
      <c r="A13" s="56" t="s">
        <v>62</v>
      </c>
      <c r="B13" s="57"/>
      <c r="C13" s="58" t="b">
        <f>IF($C$12&gt;0,IF(I7="W",EDATE($C$12,(12*64.33)),IF(I7="M",EDATE($C$12,65*12))))</f>
        <v>0</v>
      </c>
      <c r="D13" s="59">
        <f ca="1">IF(C14&gt;TODAY(),0,1)</f>
        <v>0</v>
      </c>
      <c r="E13" s="60">
        <f>IF(C14-($Q$20-1)&lt;365.25,IF(C14-($Q$20-1)&gt;0,1,0),0)</f>
        <v>0</v>
      </c>
      <c r="F13" s="34">
        <f>(R31-C12)/365.25</f>
        <v>126.00136892539356</v>
      </c>
    </row>
    <row r="14" spans="1:18" s="34" customFormat="1" hidden="1" x14ac:dyDescent="0.3">
      <c r="A14" s="56" t="s">
        <v>63</v>
      </c>
      <c r="B14" s="57"/>
      <c r="C14" s="61">
        <f>IFERROR(IF(I7="W",IF(C12&gt;22281,EOMONTH(C13,1),EOMONTH(C13,-2)),EOMONTH(C13,1)),DATE(2900,1,1))</f>
        <v>365245</v>
      </c>
      <c r="E14" s="60"/>
    </row>
    <row r="15" spans="1:18" s="34" customFormat="1" x14ac:dyDescent="0.3">
      <c r="A15" s="37"/>
      <c r="D15" s="130" t="s">
        <v>41</v>
      </c>
      <c r="E15" s="130"/>
      <c r="F15" s="130"/>
      <c r="G15" s="131"/>
      <c r="H15" s="62"/>
      <c r="I15" s="63"/>
      <c r="J15" s="62"/>
      <c r="K15" s="62"/>
    </row>
    <row r="16" spans="1:18" s="16" customFormat="1" ht="12.75" customHeight="1" x14ac:dyDescent="0.25">
      <c r="A16" s="117" t="s">
        <v>9</v>
      </c>
      <c r="B16" s="117" t="str">
        <f>Zusammenstellung!C21</f>
        <v>AHV-Lohn</v>
      </c>
      <c r="C16" s="117" t="str">
        <f>Zusammenstellung!D21</f>
        <v>nicht AHV-pflichtig</v>
      </c>
      <c r="D16" s="117" t="str">
        <f>Zusammenstellung!E21</f>
        <v>Unfall- und
Kranken-
taggeld</v>
      </c>
      <c r="E16" s="117" t="str">
        <f>Zusammenstellung!F21</f>
        <v>Kinder-
zulagen</v>
      </c>
      <c r="F16" s="117" t="str">
        <f>Zusammenstellung!G21</f>
        <v>Total Bruttolohn</v>
      </c>
      <c r="G16" s="128" t="str">
        <f>Zusammenstellung!H21</f>
        <v>AHV</v>
      </c>
      <c r="H16" s="128" t="str">
        <f>Zusammenstellung!I21</f>
        <v>ALV</v>
      </c>
      <c r="I16" s="117" t="str">
        <f>Zusammenstellung!J21</f>
        <v>BVG</v>
      </c>
      <c r="J16" s="128" t="str">
        <f>Zusammenstellung!K21</f>
        <v>NBU</v>
      </c>
      <c r="K16" s="128" t="str">
        <f>Zusammenstellung!L21</f>
        <v>KTG</v>
      </c>
      <c r="L16" s="120"/>
      <c r="M16" s="120"/>
      <c r="N16" s="117" t="str">
        <f>Zusammenstellung!O21</f>
        <v>Nettolohn</v>
      </c>
      <c r="O16" s="117" t="str">
        <f>Zusammenstellung!P21</f>
        <v xml:space="preserve">Spesen </v>
      </c>
      <c r="P16" s="117" t="str">
        <f>Zusammenstellung!Q21</f>
        <v>Auszahlung</v>
      </c>
    </row>
    <row r="17" spans="1:29" s="16" customFormat="1" ht="14.25" x14ac:dyDescent="0.25">
      <c r="A17" s="118"/>
      <c r="B17" s="118"/>
      <c r="C17" s="118"/>
      <c r="D17" s="118"/>
      <c r="E17" s="118"/>
      <c r="F17" s="118"/>
      <c r="G17" s="129"/>
      <c r="H17" s="129"/>
      <c r="I17" s="118"/>
      <c r="J17" s="129"/>
      <c r="K17" s="129"/>
      <c r="L17" s="121"/>
      <c r="M17" s="121"/>
      <c r="N17" s="118"/>
      <c r="O17" s="118"/>
      <c r="P17" s="118"/>
      <c r="Q17" s="115" t="s">
        <v>9</v>
      </c>
      <c r="R17" s="116"/>
      <c r="S17" s="116" t="s">
        <v>45</v>
      </c>
      <c r="T17" s="116"/>
      <c r="U17" s="16" t="s">
        <v>46</v>
      </c>
      <c r="V17" s="16" t="s">
        <v>47</v>
      </c>
      <c r="W17" s="16" t="s">
        <v>50</v>
      </c>
      <c r="X17" s="16" t="s">
        <v>60</v>
      </c>
      <c r="Y17" s="16" t="s">
        <v>51</v>
      </c>
      <c r="Z17" s="16" t="s">
        <v>61</v>
      </c>
      <c r="AA17" s="16" t="s">
        <v>49</v>
      </c>
      <c r="AB17" s="16" t="s">
        <v>48</v>
      </c>
      <c r="AC17" s="16" t="s">
        <v>59</v>
      </c>
    </row>
    <row r="18" spans="1:29" s="16" customFormat="1" ht="14.25" x14ac:dyDescent="0.2">
      <c r="A18" s="119"/>
      <c r="B18" s="119"/>
      <c r="C18" s="119"/>
      <c r="D18" s="119"/>
      <c r="E18" s="119"/>
      <c r="F18" s="119"/>
      <c r="G18" s="64">
        <f>AHV</f>
        <v>5.2999999999999999E-2</v>
      </c>
      <c r="H18" s="64">
        <f>IF(H15="",ALV,H15)</f>
        <v>1.0999999999999999E-2</v>
      </c>
      <c r="I18" s="119"/>
      <c r="J18" s="64">
        <f>IF(J15="",NBU,J15)</f>
        <v>1.4E-2</v>
      </c>
      <c r="K18" s="64">
        <f>IF(K15="",IF(I7="w",KTGW,KTG),K15)</f>
        <v>0.01</v>
      </c>
      <c r="L18" s="17"/>
      <c r="M18" s="17"/>
      <c r="N18" s="119"/>
      <c r="O18" s="119"/>
      <c r="P18" s="119"/>
      <c r="Q18" s="65" t="s">
        <v>43</v>
      </c>
      <c r="R18" s="65" t="s">
        <v>44</v>
      </c>
      <c r="S18" s="65" t="s">
        <v>43</v>
      </c>
      <c r="T18" s="65" t="s">
        <v>44</v>
      </c>
    </row>
    <row r="19" spans="1:29" s="16" customFormat="1" x14ac:dyDescent="0.3">
      <c r="A19" s="63"/>
      <c r="B19" s="63"/>
      <c r="C19" s="63"/>
      <c r="D19" s="63"/>
      <c r="E19" s="63"/>
      <c r="F19" s="63"/>
      <c r="G19" s="66"/>
      <c r="H19" s="66"/>
      <c r="I19" s="63"/>
      <c r="J19" s="66"/>
      <c r="K19" s="66"/>
      <c r="L19" s="66"/>
      <c r="M19" s="66"/>
      <c r="N19" s="63"/>
      <c r="O19" s="63"/>
      <c r="P19" s="63"/>
      <c r="Z19" s="67"/>
    </row>
    <row r="20" spans="1:29" x14ac:dyDescent="0.3">
      <c r="A20" s="68">
        <v>38383</v>
      </c>
      <c r="B20" s="69"/>
      <c r="C20" s="69"/>
      <c r="D20" s="69"/>
      <c r="E20" s="69"/>
      <c r="F20" s="70">
        <f>SUM(B20:E20)</f>
        <v>0</v>
      </c>
      <c r="G20" s="71">
        <f>ROUND($B20*G$18/5,2)*5</f>
        <v>0</v>
      </c>
      <c r="H20" s="71">
        <f t="shared" ref="H20:H33" si="0">ROUND(W20*$H$18/5,2)*5</f>
        <v>0</v>
      </c>
      <c r="I20" s="69"/>
      <c r="J20" s="71">
        <f t="shared" ref="J20:J33" si="1">ROUND(W20*$J$18/5,2)*5</f>
        <v>0</v>
      </c>
      <c r="K20" s="71">
        <f t="shared" ref="K20:K33" si="2">ROUND(($B20+$C20)*K$18/5,2)*5</f>
        <v>0</v>
      </c>
      <c r="L20" s="69"/>
      <c r="M20" s="69"/>
      <c r="N20" s="71">
        <f>F20-G20-H20-J20-K20-L20-M20-I20</f>
        <v>0</v>
      </c>
      <c r="O20" s="69"/>
      <c r="P20" s="70">
        <f>N20+O20</f>
        <v>0</v>
      </c>
      <c r="Q20" s="72">
        <v>45658</v>
      </c>
      <c r="R20" s="41">
        <f>Q20+30</f>
        <v>45688</v>
      </c>
      <c r="S20" s="41">
        <f>IF($R$4&gt;R20,0,IF($R$4&gt;Q20,$R$4,Q20))</f>
        <v>45658</v>
      </c>
      <c r="T20" s="41">
        <f>IF(S20=0,0,IF($R$5&gt;R20,R20,IF(S20&gt;$R$5,(S20)-1,$R$5)))</f>
        <v>45688</v>
      </c>
      <c r="U20" s="73">
        <f>IF(S20=0,0,DAYS360(S20,T20,1)+1)</f>
        <v>30</v>
      </c>
      <c r="V20" s="73">
        <f>U20</f>
        <v>30</v>
      </c>
      <c r="W20" s="67">
        <f>IF(AA20&gt;AB20,AB20-Y19,AA20-Y19)</f>
        <v>0</v>
      </c>
      <c r="X20" s="67">
        <f>IF(AA20&lt;(AB20),0,IF(AA20&gt;(AB20+AC20),AC20-Z19,AA20-Z19-AB20))</f>
        <v>0</v>
      </c>
      <c r="Y20" s="67">
        <f>W20</f>
        <v>0</v>
      </c>
      <c r="Z20" s="67">
        <f>X20</f>
        <v>0</v>
      </c>
      <c r="AA20" s="67">
        <f>B20+C20</f>
        <v>0</v>
      </c>
      <c r="AB20" s="67">
        <f>ALVMAX/360*V20</f>
        <v>12350</v>
      </c>
      <c r="AC20" s="67">
        <f>(ALVMAX2/360*V20)-AB20</f>
        <v>8320983.2500000009</v>
      </c>
    </row>
    <row r="21" spans="1:29" x14ac:dyDescent="0.3">
      <c r="A21" s="68">
        <v>38411</v>
      </c>
      <c r="B21" s="69"/>
      <c r="C21" s="69"/>
      <c r="D21" s="69"/>
      <c r="E21" s="69"/>
      <c r="F21" s="70">
        <f t="shared" ref="F21:F33" si="3">SUM(B21:E21)</f>
        <v>0</v>
      </c>
      <c r="G21" s="71">
        <f t="shared" ref="G21:G33" si="4">ROUND(B21*$G$18/5,2)*5</f>
        <v>0</v>
      </c>
      <c r="H21" s="71">
        <f t="shared" si="0"/>
        <v>0</v>
      </c>
      <c r="I21" s="69"/>
      <c r="J21" s="71">
        <f t="shared" si="1"/>
        <v>0</v>
      </c>
      <c r="K21" s="71">
        <f t="shared" si="2"/>
        <v>0</v>
      </c>
      <c r="L21" s="69"/>
      <c r="M21" s="69"/>
      <c r="N21" s="71">
        <f t="shared" ref="N21:N33" si="5">F21-G21-H21-J21-K21-L21-M21-I21</f>
        <v>0</v>
      </c>
      <c r="O21" s="69"/>
      <c r="P21" s="70">
        <f t="shared" ref="P21:P33" si="6">N21+O21</f>
        <v>0</v>
      </c>
      <c r="Q21" s="41">
        <f>R20+1</f>
        <v>45689</v>
      </c>
      <c r="R21" s="72">
        <v>45716</v>
      </c>
      <c r="S21" s="41">
        <f t="shared" ref="S21:S31" si="7">IF($R$4&gt;R21,0,IF($R$4&gt;Q21,$R$4,Q21))</f>
        <v>45689</v>
      </c>
      <c r="T21" s="41">
        <f t="shared" ref="T21:T31" si="8">IF(S21=0,0,IF($R$5&gt;R21,R21,IF(S21&gt;$R$5,(S21)-1,$R$5)))</f>
        <v>45716</v>
      </c>
      <c r="U21" s="73">
        <f>IF(S21=0,0,IF(R21=T21,DAYS360(S21,T21,1)+3,DAYS360(S21,T21,1)+1))</f>
        <v>30</v>
      </c>
      <c r="V21" s="73">
        <f>V20+U21</f>
        <v>60</v>
      </c>
      <c r="W21" s="67">
        <f>IF(AA21&gt;AB21,AB21-Y20,AA21-Y20)</f>
        <v>0</v>
      </c>
      <c r="X21" s="67">
        <f>IF(AA21&lt;(AB21),0,IF(AA21&gt;(AB21+AC21),AC21-Z20,AA21-Z20-AB21))</f>
        <v>0</v>
      </c>
      <c r="Y21" s="67">
        <f t="shared" ref="Y21:Y33" si="9">Y20+W21</f>
        <v>0</v>
      </c>
      <c r="Z21" s="67">
        <f>X21+Z20</f>
        <v>0</v>
      </c>
      <c r="AA21" s="67">
        <f t="shared" ref="AA21:AA33" si="10">AA20+B21+C21</f>
        <v>0</v>
      </c>
      <c r="AB21" s="67">
        <f t="shared" ref="AB21:AB31" si="11">ALVMAX/360*V21</f>
        <v>24700</v>
      </c>
      <c r="AC21" s="67">
        <f t="shared" ref="AC21:AC33" si="12">(ALVMAX2/360*V21)-AB21</f>
        <v>16641966.500000002</v>
      </c>
    </row>
    <row r="22" spans="1:29" x14ac:dyDescent="0.3">
      <c r="A22" s="68">
        <v>38442</v>
      </c>
      <c r="B22" s="69"/>
      <c r="C22" s="69"/>
      <c r="D22" s="69"/>
      <c r="E22" s="69"/>
      <c r="F22" s="70">
        <f t="shared" si="3"/>
        <v>0</v>
      </c>
      <c r="G22" s="71">
        <f t="shared" si="4"/>
        <v>0</v>
      </c>
      <c r="H22" s="71">
        <f t="shared" si="0"/>
        <v>0</v>
      </c>
      <c r="I22" s="69"/>
      <c r="J22" s="71">
        <f t="shared" si="1"/>
        <v>0</v>
      </c>
      <c r="K22" s="71">
        <f t="shared" si="2"/>
        <v>0</v>
      </c>
      <c r="L22" s="69"/>
      <c r="M22" s="69"/>
      <c r="N22" s="71">
        <f t="shared" si="5"/>
        <v>0</v>
      </c>
      <c r="O22" s="69"/>
      <c r="P22" s="70">
        <f t="shared" si="6"/>
        <v>0</v>
      </c>
      <c r="Q22" s="41">
        <f>R21+1</f>
        <v>45717</v>
      </c>
      <c r="R22" s="41">
        <f>Q22+30</f>
        <v>45747</v>
      </c>
      <c r="S22" s="41">
        <f t="shared" si="7"/>
        <v>45717</v>
      </c>
      <c r="T22" s="41">
        <f t="shared" si="8"/>
        <v>45747</v>
      </c>
      <c r="U22" s="73">
        <f>IF(S22=0,0,IF(T22=R21,DAYS360(S22,T22,1)+3,DAYS360(S22,T22,1)+1))</f>
        <v>30</v>
      </c>
      <c r="V22" s="73">
        <f t="shared" ref="V22:V31" si="13">V21+U22</f>
        <v>90</v>
      </c>
      <c r="W22" s="67">
        <f>IF(AA22&gt;AB22,AB22-Y21,AA22-Y21)</f>
        <v>0</v>
      </c>
      <c r="X22" s="67">
        <f t="shared" ref="X22:X33" si="14">IF(AA22&lt;(AB22),0,IF(AA22&gt;(AB22+AC22),AC22-Z21,AA22-Z21-AB22))</f>
        <v>0</v>
      </c>
      <c r="Y22" s="67">
        <f t="shared" si="9"/>
        <v>0</v>
      </c>
      <c r="Z22" s="67">
        <f t="shared" ref="Z22:Z33" si="15">X22+Z21</f>
        <v>0</v>
      </c>
      <c r="AA22" s="67">
        <f t="shared" si="10"/>
        <v>0</v>
      </c>
      <c r="AB22" s="67">
        <f t="shared" si="11"/>
        <v>37050</v>
      </c>
      <c r="AC22" s="67">
        <f t="shared" si="12"/>
        <v>24962949.750000004</v>
      </c>
    </row>
    <row r="23" spans="1:29" x14ac:dyDescent="0.3">
      <c r="A23" s="68">
        <v>38472</v>
      </c>
      <c r="B23" s="69"/>
      <c r="C23" s="69"/>
      <c r="D23" s="69"/>
      <c r="E23" s="69"/>
      <c r="F23" s="70">
        <f t="shared" si="3"/>
        <v>0</v>
      </c>
      <c r="G23" s="71">
        <f t="shared" si="4"/>
        <v>0</v>
      </c>
      <c r="H23" s="71">
        <f t="shared" si="0"/>
        <v>0</v>
      </c>
      <c r="I23" s="69"/>
      <c r="J23" s="71">
        <f t="shared" si="1"/>
        <v>0</v>
      </c>
      <c r="K23" s="71">
        <f t="shared" si="2"/>
        <v>0</v>
      </c>
      <c r="L23" s="69"/>
      <c r="M23" s="69"/>
      <c r="N23" s="71">
        <f t="shared" si="5"/>
        <v>0</v>
      </c>
      <c r="O23" s="69"/>
      <c r="P23" s="70">
        <f t="shared" si="6"/>
        <v>0</v>
      </c>
      <c r="Q23" s="41">
        <f t="shared" ref="Q23:Q31" si="16">R22+1</f>
        <v>45748</v>
      </c>
      <c r="R23" s="41">
        <f>Q23+29</f>
        <v>45777</v>
      </c>
      <c r="S23" s="41">
        <f t="shared" si="7"/>
        <v>45748</v>
      </c>
      <c r="T23" s="41">
        <f t="shared" si="8"/>
        <v>45777</v>
      </c>
      <c r="U23" s="73">
        <f t="shared" ref="U23:U31" si="17">IF(S23=0,0,DAYS360(S23,T23,1)+1)</f>
        <v>30</v>
      </c>
      <c r="V23" s="73">
        <f t="shared" si="13"/>
        <v>120</v>
      </c>
      <c r="W23" s="67">
        <f t="shared" ref="W23:W33" si="18">IF(AA23&gt;AB23,AB23-Y22,AA23-Y22)</f>
        <v>0</v>
      </c>
      <c r="X23" s="67">
        <f t="shared" si="14"/>
        <v>0</v>
      </c>
      <c r="Y23" s="67">
        <f t="shared" si="9"/>
        <v>0</v>
      </c>
      <c r="Z23" s="67">
        <f t="shared" si="15"/>
        <v>0</v>
      </c>
      <c r="AA23" s="67">
        <f t="shared" si="10"/>
        <v>0</v>
      </c>
      <c r="AB23" s="67">
        <f t="shared" si="11"/>
        <v>49400</v>
      </c>
      <c r="AC23" s="67">
        <f t="shared" si="12"/>
        <v>33283933.000000004</v>
      </c>
    </row>
    <row r="24" spans="1:29" x14ac:dyDescent="0.3">
      <c r="A24" s="68">
        <v>38503</v>
      </c>
      <c r="B24" s="69"/>
      <c r="C24" s="69"/>
      <c r="D24" s="69"/>
      <c r="E24" s="69"/>
      <c r="F24" s="70">
        <f t="shared" si="3"/>
        <v>0</v>
      </c>
      <c r="G24" s="71">
        <f t="shared" si="4"/>
        <v>0</v>
      </c>
      <c r="H24" s="71">
        <f t="shared" si="0"/>
        <v>0</v>
      </c>
      <c r="I24" s="69"/>
      <c r="J24" s="71">
        <f t="shared" si="1"/>
        <v>0</v>
      </c>
      <c r="K24" s="71">
        <f t="shared" si="2"/>
        <v>0</v>
      </c>
      <c r="L24" s="69"/>
      <c r="M24" s="69"/>
      <c r="N24" s="71">
        <f t="shared" si="5"/>
        <v>0</v>
      </c>
      <c r="O24" s="69"/>
      <c r="P24" s="70">
        <f t="shared" si="6"/>
        <v>0</v>
      </c>
      <c r="Q24" s="41">
        <f t="shared" si="16"/>
        <v>45778</v>
      </c>
      <c r="R24" s="41">
        <f>Q24+30</f>
        <v>45808</v>
      </c>
      <c r="S24" s="41">
        <f t="shared" si="7"/>
        <v>45778</v>
      </c>
      <c r="T24" s="41">
        <f t="shared" si="8"/>
        <v>45808</v>
      </c>
      <c r="U24" s="73">
        <f t="shared" si="17"/>
        <v>30</v>
      </c>
      <c r="V24" s="73">
        <f t="shared" si="13"/>
        <v>150</v>
      </c>
      <c r="W24" s="67">
        <f t="shared" si="18"/>
        <v>0</v>
      </c>
      <c r="X24" s="67">
        <f t="shared" si="14"/>
        <v>0</v>
      </c>
      <c r="Y24" s="67">
        <f t="shared" si="9"/>
        <v>0</v>
      </c>
      <c r="Z24" s="67">
        <f t="shared" si="15"/>
        <v>0</v>
      </c>
      <c r="AA24" s="67">
        <f t="shared" si="10"/>
        <v>0</v>
      </c>
      <c r="AB24" s="67">
        <f t="shared" si="11"/>
        <v>61750</v>
      </c>
      <c r="AC24" s="67">
        <f t="shared" si="12"/>
        <v>41604916.25</v>
      </c>
    </row>
    <row r="25" spans="1:29" x14ac:dyDescent="0.3">
      <c r="A25" s="68">
        <v>38533</v>
      </c>
      <c r="B25" s="69"/>
      <c r="C25" s="69"/>
      <c r="D25" s="69"/>
      <c r="E25" s="69"/>
      <c r="F25" s="70">
        <f t="shared" si="3"/>
        <v>0</v>
      </c>
      <c r="G25" s="71">
        <f t="shared" si="4"/>
        <v>0</v>
      </c>
      <c r="H25" s="71">
        <f t="shared" si="0"/>
        <v>0</v>
      </c>
      <c r="I25" s="69"/>
      <c r="J25" s="71">
        <f t="shared" si="1"/>
        <v>0</v>
      </c>
      <c r="K25" s="71">
        <f t="shared" si="2"/>
        <v>0</v>
      </c>
      <c r="L25" s="69"/>
      <c r="M25" s="69"/>
      <c r="N25" s="71">
        <f t="shared" si="5"/>
        <v>0</v>
      </c>
      <c r="O25" s="69"/>
      <c r="P25" s="70">
        <f t="shared" si="6"/>
        <v>0</v>
      </c>
      <c r="Q25" s="41">
        <f t="shared" si="16"/>
        <v>45809</v>
      </c>
      <c r="R25" s="41">
        <f>Q25+29</f>
        <v>45838</v>
      </c>
      <c r="S25" s="41">
        <f t="shared" si="7"/>
        <v>45809</v>
      </c>
      <c r="T25" s="41">
        <f t="shared" si="8"/>
        <v>45838</v>
      </c>
      <c r="U25" s="73">
        <f t="shared" si="17"/>
        <v>30</v>
      </c>
      <c r="V25" s="73">
        <f t="shared" si="13"/>
        <v>180</v>
      </c>
      <c r="W25" s="67">
        <f t="shared" si="18"/>
        <v>0</v>
      </c>
      <c r="X25" s="67">
        <f t="shared" si="14"/>
        <v>0</v>
      </c>
      <c r="Y25" s="67">
        <f t="shared" si="9"/>
        <v>0</v>
      </c>
      <c r="Z25" s="67">
        <f t="shared" si="15"/>
        <v>0</v>
      </c>
      <c r="AA25" s="67">
        <f t="shared" si="10"/>
        <v>0</v>
      </c>
      <c r="AB25" s="67">
        <f t="shared" si="11"/>
        <v>74100</v>
      </c>
      <c r="AC25" s="67">
        <f t="shared" si="12"/>
        <v>49925899.500000007</v>
      </c>
    </row>
    <row r="26" spans="1:29" x14ac:dyDescent="0.3">
      <c r="A26" s="68">
        <v>38564</v>
      </c>
      <c r="B26" s="69"/>
      <c r="C26" s="69"/>
      <c r="D26" s="69"/>
      <c r="E26" s="69"/>
      <c r="F26" s="70">
        <f t="shared" si="3"/>
        <v>0</v>
      </c>
      <c r="G26" s="71">
        <f t="shared" si="4"/>
        <v>0</v>
      </c>
      <c r="H26" s="71">
        <f t="shared" si="0"/>
        <v>0</v>
      </c>
      <c r="I26" s="69"/>
      <c r="J26" s="71">
        <f t="shared" si="1"/>
        <v>0</v>
      </c>
      <c r="K26" s="71">
        <f t="shared" si="2"/>
        <v>0</v>
      </c>
      <c r="L26" s="69"/>
      <c r="M26" s="69"/>
      <c r="N26" s="71">
        <f t="shared" si="5"/>
        <v>0</v>
      </c>
      <c r="O26" s="69"/>
      <c r="P26" s="70">
        <f t="shared" si="6"/>
        <v>0</v>
      </c>
      <c r="Q26" s="41">
        <f t="shared" si="16"/>
        <v>45839</v>
      </c>
      <c r="R26" s="41">
        <f>Q26+30</f>
        <v>45869</v>
      </c>
      <c r="S26" s="41">
        <f t="shared" si="7"/>
        <v>45839</v>
      </c>
      <c r="T26" s="41">
        <f t="shared" si="8"/>
        <v>45869</v>
      </c>
      <c r="U26" s="73">
        <f t="shared" si="17"/>
        <v>30</v>
      </c>
      <c r="V26" s="73">
        <f t="shared" si="13"/>
        <v>210</v>
      </c>
      <c r="W26" s="67">
        <f t="shared" si="18"/>
        <v>0</v>
      </c>
      <c r="X26" s="67">
        <f t="shared" si="14"/>
        <v>0</v>
      </c>
      <c r="Y26" s="67">
        <f t="shared" si="9"/>
        <v>0</v>
      </c>
      <c r="Z26" s="67">
        <f t="shared" si="15"/>
        <v>0</v>
      </c>
      <c r="AA26" s="67">
        <f t="shared" si="10"/>
        <v>0</v>
      </c>
      <c r="AB26" s="67">
        <f t="shared" si="11"/>
        <v>86450</v>
      </c>
      <c r="AC26" s="67">
        <f t="shared" si="12"/>
        <v>58246882.750000007</v>
      </c>
    </row>
    <row r="27" spans="1:29" x14ac:dyDescent="0.3">
      <c r="A27" s="68">
        <v>38595</v>
      </c>
      <c r="B27" s="69"/>
      <c r="C27" s="69"/>
      <c r="D27" s="69"/>
      <c r="E27" s="69"/>
      <c r="F27" s="70">
        <f t="shared" si="3"/>
        <v>0</v>
      </c>
      <c r="G27" s="71">
        <f t="shared" si="4"/>
        <v>0</v>
      </c>
      <c r="H27" s="71">
        <f t="shared" si="0"/>
        <v>0</v>
      </c>
      <c r="I27" s="69"/>
      <c r="J27" s="71">
        <f t="shared" si="1"/>
        <v>0</v>
      </c>
      <c r="K27" s="71">
        <f t="shared" si="2"/>
        <v>0</v>
      </c>
      <c r="L27" s="69"/>
      <c r="M27" s="69"/>
      <c r="N27" s="71">
        <f t="shared" si="5"/>
        <v>0</v>
      </c>
      <c r="O27" s="69"/>
      <c r="P27" s="70">
        <f t="shared" si="6"/>
        <v>0</v>
      </c>
      <c r="Q27" s="41">
        <f t="shared" si="16"/>
        <v>45870</v>
      </c>
      <c r="R27" s="41">
        <f>Q27+30</f>
        <v>45900</v>
      </c>
      <c r="S27" s="41">
        <f t="shared" si="7"/>
        <v>45870</v>
      </c>
      <c r="T27" s="41">
        <f t="shared" si="8"/>
        <v>45900</v>
      </c>
      <c r="U27" s="73">
        <f t="shared" si="17"/>
        <v>30</v>
      </c>
      <c r="V27" s="73">
        <f t="shared" si="13"/>
        <v>240</v>
      </c>
      <c r="W27" s="67">
        <f t="shared" si="18"/>
        <v>0</v>
      </c>
      <c r="X27" s="67">
        <f t="shared" si="14"/>
        <v>0</v>
      </c>
      <c r="Y27" s="67">
        <f t="shared" si="9"/>
        <v>0</v>
      </c>
      <c r="Z27" s="67">
        <f t="shared" si="15"/>
        <v>0</v>
      </c>
      <c r="AA27" s="67">
        <f t="shared" si="10"/>
        <v>0</v>
      </c>
      <c r="AB27" s="67">
        <f t="shared" si="11"/>
        <v>98800</v>
      </c>
      <c r="AC27" s="67">
        <f t="shared" si="12"/>
        <v>66567866.000000007</v>
      </c>
    </row>
    <row r="28" spans="1:29" x14ac:dyDescent="0.3">
      <c r="A28" s="68">
        <v>38625</v>
      </c>
      <c r="B28" s="69"/>
      <c r="C28" s="69"/>
      <c r="D28" s="69"/>
      <c r="E28" s="69"/>
      <c r="F28" s="70">
        <f t="shared" si="3"/>
        <v>0</v>
      </c>
      <c r="G28" s="71">
        <f t="shared" si="4"/>
        <v>0</v>
      </c>
      <c r="H28" s="71">
        <f t="shared" si="0"/>
        <v>0</v>
      </c>
      <c r="I28" s="69"/>
      <c r="J28" s="71">
        <f t="shared" si="1"/>
        <v>0</v>
      </c>
      <c r="K28" s="71">
        <f t="shared" si="2"/>
        <v>0</v>
      </c>
      <c r="L28" s="69"/>
      <c r="M28" s="69"/>
      <c r="N28" s="71">
        <f t="shared" si="5"/>
        <v>0</v>
      </c>
      <c r="O28" s="69"/>
      <c r="P28" s="70">
        <f t="shared" si="6"/>
        <v>0</v>
      </c>
      <c r="Q28" s="41">
        <f t="shared" si="16"/>
        <v>45901</v>
      </c>
      <c r="R28" s="41">
        <f>Q28+29</f>
        <v>45930</v>
      </c>
      <c r="S28" s="41">
        <f t="shared" si="7"/>
        <v>45901</v>
      </c>
      <c r="T28" s="41">
        <f t="shared" si="8"/>
        <v>45930</v>
      </c>
      <c r="U28" s="73">
        <f t="shared" si="17"/>
        <v>30</v>
      </c>
      <c r="V28" s="73">
        <f t="shared" si="13"/>
        <v>270</v>
      </c>
      <c r="W28" s="67">
        <f t="shared" si="18"/>
        <v>0</v>
      </c>
      <c r="X28" s="67">
        <f t="shared" si="14"/>
        <v>0</v>
      </c>
      <c r="Y28" s="67">
        <f t="shared" si="9"/>
        <v>0</v>
      </c>
      <c r="Z28" s="67">
        <f t="shared" si="15"/>
        <v>0</v>
      </c>
      <c r="AA28" s="67">
        <f t="shared" si="10"/>
        <v>0</v>
      </c>
      <c r="AB28" s="67">
        <f t="shared" si="11"/>
        <v>111150</v>
      </c>
      <c r="AC28" s="67">
        <f t="shared" si="12"/>
        <v>74888849.25</v>
      </c>
    </row>
    <row r="29" spans="1:29" x14ac:dyDescent="0.3">
      <c r="A29" s="68">
        <v>38656</v>
      </c>
      <c r="B29" s="69"/>
      <c r="C29" s="69"/>
      <c r="D29" s="69"/>
      <c r="E29" s="69"/>
      <c r="F29" s="70">
        <f t="shared" si="3"/>
        <v>0</v>
      </c>
      <c r="G29" s="71">
        <f t="shared" si="4"/>
        <v>0</v>
      </c>
      <c r="H29" s="71">
        <f t="shared" si="0"/>
        <v>0</v>
      </c>
      <c r="I29" s="69"/>
      <c r="J29" s="71">
        <f t="shared" si="1"/>
        <v>0</v>
      </c>
      <c r="K29" s="71">
        <f t="shared" si="2"/>
        <v>0</v>
      </c>
      <c r="L29" s="69"/>
      <c r="M29" s="69"/>
      <c r="N29" s="71">
        <f t="shared" si="5"/>
        <v>0</v>
      </c>
      <c r="O29" s="69"/>
      <c r="P29" s="70">
        <f t="shared" si="6"/>
        <v>0</v>
      </c>
      <c r="Q29" s="41">
        <f t="shared" si="16"/>
        <v>45931</v>
      </c>
      <c r="R29" s="41">
        <f>Q29+30</f>
        <v>45961</v>
      </c>
      <c r="S29" s="41">
        <f t="shared" si="7"/>
        <v>45931</v>
      </c>
      <c r="T29" s="41">
        <f t="shared" si="8"/>
        <v>45961</v>
      </c>
      <c r="U29" s="73">
        <f t="shared" si="17"/>
        <v>30</v>
      </c>
      <c r="V29" s="73">
        <f t="shared" si="13"/>
        <v>300</v>
      </c>
      <c r="W29" s="67">
        <f t="shared" si="18"/>
        <v>0</v>
      </c>
      <c r="X29" s="67">
        <f t="shared" si="14"/>
        <v>0</v>
      </c>
      <c r="Y29" s="67">
        <f t="shared" si="9"/>
        <v>0</v>
      </c>
      <c r="Z29" s="67">
        <f t="shared" si="15"/>
        <v>0</v>
      </c>
      <c r="AA29" s="67">
        <f t="shared" si="10"/>
        <v>0</v>
      </c>
      <c r="AB29" s="67">
        <f t="shared" si="11"/>
        <v>123500</v>
      </c>
      <c r="AC29" s="67">
        <f t="shared" si="12"/>
        <v>83209832.5</v>
      </c>
    </row>
    <row r="30" spans="1:29" x14ac:dyDescent="0.3">
      <c r="A30" s="68">
        <v>38686</v>
      </c>
      <c r="B30" s="69"/>
      <c r="C30" s="69"/>
      <c r="D30" s="69"/>
      <c r="E30" s="69"/>
      <c r="F30" s="70">
        <f t="shared" si="3"/>
        <v>0</v>
      </c>
      <c r="G30" s="71">
        <f t="shared" si="4"/>
        <v>0</v>
      </c>
      <c r="H30" s="71">
        <f t="shared" si="0"/>
        <v>0</v>
      </c>
      <c r="I30" s="69"/>
      <c r="J30" s="71">
        <f t="shared" si="1"/>
        <v>0</v>
      </c>
      <c r="K30" s="71">
        <f t="shared" si="2"/>
        <v>0</v>
      </c>
      <c r="L30" s="69"/>
      <c r="M30" s="69"/>
      <c r="N30" s="71">
        <f t="shared" si="5"/>
        <v>0</v>
      </c>
      <c r="O30" s="69"/>
      <c r="P30" s="70">
        <f t="shared" si="6"/>
        <v>0</v>
      </c>
      <c r="Q30" s="41">
        <f t="shared" si="16"/>
        <v>45962</v>
      </c>
      <c r="R30" s="41">
        <f>Q30+29</f>
        <v>45991</v>
      </c>
      <c r="S30" s="41">
        <f t="shared" si="7"/>
        <v>45962</v>
      </c>
      <c r="T30" s="41">
        <f t="shared" si="8"/>
        <v>45991</v>
      </c>
      <c r="U30" s="73">
        <f t="shared" si="17"/>
        <v>30</v>
      </c>
      <c r="V30" s="73">
        <f t="shared" si="13"/>
        <v>330</v>
      </c>
      <c r="W30" s="67">
        <f t="shared" si="18"/>
        <v>0</v>
      </c>
      <c r="X30" s="67">
        <f t="shared" si="14"/>
        <v>0</v>
      </c>
      <c r="Y30" s="67">
        <f t="shared" si="9"/>
        <v>0</v>
      </c>
      <c r="Z30" s="67">
        <f t="shared" si="15"/>
        <v>0</v>
      </c>
      <c r="AA30" s="67">
        <f t="shared" si="10"/>
        <v>0</v>
      </c>
      <c r="AB30" s="67">
        <f t="shared" si="11"/>
        <v>135850</v>
      </c>
      <c r="AC30" s="67">
        <f t="shared" si="12"/>
        <v>91530815.750000015</v>
      </c>
    </row>
    <row r="31" spans="1:29" x14ac:dyDescent="0.3">
      <c r="A31" s="68">
        <v>38717</v>
      </c>
      <c r="B31" s="69"/>
      <c r="C31" s="69"/>
      <c r="D31" s="69"/>
      <c r="E31" s="69"/>
      <c r="F31" s="70">
        <f t="shared" si="3"/>
        <v>0</v>
      </c>
      <c r="G31" s="71">
        <f t="shared" si="4"/>
        <v>0</v>
      </c>
      <c r="H31" s="71">
        <f t="shared" si="0"/>
        <v>0</v>
      </c>
      <c r="I31" s="69"/>
      <c r="J31" s="71">
        <f t="shared" si="1"/>
        <v>0</v>
      </c>
      <c r="K31" s="71">
        <f t="shared" si="2"/>
        <v>0</v>
      </c>
      <c r="L31" s="69"/>
      <c r="M31" s="69"/>
      <c r="N31" s="71">
        <f t="shared" si="5"/>
        <v>0</v>
      </c>
      <c r="O31" s="69"/>
      <c r="P31" s="70">
        <f t="shared" si="6"/>
        <v>0</v>
      </c>
      <c r="Q31" s="41">
        <f t="shared" si="16"/>
        <v>45992</v>
      </c>
      <c r="R31" s="41">
        <f>Q31+30</f>
        <v>46022</v>
      </c>
      <c r="S31" s="41">
        <f t="shared" si="7"/>
        <v>45992</v>
      </c>
      <c r="T31" s="41">
        <f t="shared" si="8"/>
        <v>46022</v>
      </c>
      <c r="U31" s="73">
        <f t="shared" si="17"/>
        <v>30</v>
      </c>
      <c r="V31" s="73">
        <f t="shared" si="13"/>
        <v>360</v>
      </c>
      <c r="W31" s="67">
        <f t="shared" si="18"/>
        <v>0</v>
      </c>
      <c r="X31" s="67">
        <f t="shared" si="14"/>
        <v>0</v>
      </c>
      <c r="Y31" s="67">
        <f t="shared" si="9"/>
        <v>0</v>
      </c>
      <c r="Z31" s="67">
        <f t="shared" si="15"/>
        <v>0</v>
      </c>
      <c r="AA31" s="67">
        <f t="shared" si="10"/>
        <v>0</v>
      </c>
      <c r="AB31" s="67">
        <f t="shared" si="11"/>
        <v>148200</v>
      </c>
      <c r="AC31" s="67">
        <f t="shared" si="12"/>
        <v>99851799.000000015</v>
      </c>
    </row>
    <row r="32" spans="1:29" x14ac:dyDescent="0.3">
      <c r="A32" s="74" t="s">
        <v>20</v>
      </c>
      <c r="B32" s="69"/>
      <c r="C32" s="69"/>
      <c r="D32" s="69"/>
      <c r="E32" s="69"/>
      <c r="F32" s="70">
        <f t="shared" si="3"/>
        <v>0</v>
      </c>
      <c r="G32" s="71">
        <f t="shared" si="4"/>
        <v>0</v>
      </c>
      <c r="H32" s="71">
        <f t="shared" si="0"/>
        <v>0</v>
      </c>
      <c r="I32" s="69"/>
      <c r="J32" s="71">
        <f t="shared" si="1"/>
        <v>0</v>
      </c>
      <c r="K32" s="71">
        <f t="shared" si="2"/>
        <v>0</v>
      </c>
      <c r="L32" s="69"/>
      <c r="M32" s="69"/>
      <c r="N32" s="71">
        <f t="shared" si="5"/>
        <v>0</v>
      </c>
      <c r="O32" s="69"/>
      <c r="P32" s="70">
        <f t="shared" si="6"/>
        <v>0</v>
      </c>
      <c r="Q32" s="41"/>
      <c r="R32" s="41"/>
      <c r="U32" s="73">
        <f>IF(S32=0,0,DAYS360(S32,T32,1)+1)</f>
        <v>0</v>
      </c>
      <c r="V32" s="73">
        <f>V31+U32</f>
        <v>360</v>
      </c>
      <c r="W32" s="67">
        <f t="shared" si="18"/>
        <v>0</v>
      </c>
      <c r="X32" s="67">
        <f t="shared" si="14"/>
        <v>0</v>
      </c>
      <c r="Y32" s="67">
        <f t="shared" si="9"/>
        <v>0</v>
      </c>
      <c r="Z32" s="67">
        <f t="shared" si="15"/>
        <v>0</v>
      </c>
      <c r="AA32" s="67">
        <f t="shared" si="10"/>
        <v>0</v>
      </c>
      <c r="AB32" s="67">
        <f>ALVMAX/360*V32</f>
        <v>148200</v>
      </c>
      <c r="AC32" s="67">
        <f t="shared" si="12"/>
        <v>99851799.000000015</v>
      </c>
    </row>
    <row r="33" spans="1:29" x14ac:dyDescent="0.3">
      <c r="A33" s="75" t="s">
        <v>21</v>
      </c>
      <c r="B33" s="69"/>
      <c r="C33" s="69"/>
      <c r="D33" s="69"/>
      <c r="E33" s="69"/>
      <c r="F33" s="70">
        <f t="shared" si="3"/>
        <v>0</v>
      </c>
      <c r="G33" s="71">
        <f t="shared" si="4"/>
        <v>0</v>
      </c>
      <c r="H33" s="71">
        <f t="shared" si="0"/>
        <v>0</v>
      </c>
      <c r="I33" s="69"/>
      <c r="J33" s="71">
        <f t="shared" si="1"/>
        <v>0</v>
      </c>
      <c r="K33" s="71">
        <f t="shared" si="2"/>
        <v>0</v>
      </c>
      <c r="L33" s="69"/>
      <c r="M33" s="69"/>
      <c r="N33" s="71">
        <f t="shared" si="5"/>
        <v>0</v>
      </c>
      <c r="O33" s="69"/>
      <c r="P33" s="70">
        <f t="shared" si="6"/>
        <v>0</v>
      </c>
      <c r="Q33" s="41"/>
      <c r="R33" s="41"/>
      <c r="U33" s="73">
        <f>IF(S33=0,0,DAYS360(S33,T33,1)+1)</f>
        <v>0</v>
      </c>
      <c r="V33" s="73">
        <f>V32+U33</f>
        <v>360</v>
      </c>
      <c r="W33" s="67">
        <f t="shared" si="18"/>
        <v>0</v>
      </c>
      <c r="X33" s="67">
        <f t="shared" si="14"/>
        <v>0</v>
      </c>
      <c r="Y33" s="67">
        <f t="shared" si="9"/>
        <v>0</v>
      </c>
      <c r="Z33" s="67">
        <f t="shared" si="15"/>
        <v>0</v>
      </c>
      <c r="AA33" s="67">
        <f t="shared" si="10"/>
        <v>0</v>
      </c>
      <c r="AB33" s="67">
        <f>ALVMAX/360*V33</f>
        <v>148200</v>
      </c>
      <c r="AC33" s="67">
        <f t="shared" si="12"/>
        <v>99851799.000000015</v>
      </c>
    </row>
    <row r="34" spans="1:29" s="16" customFormat="1" x14ac:dyDescent="0.3">
      <c r="A34" s="63"/>
      <c r="B34" s="63"/>
      <c r="C34" s="63"/>
      <c r="D34" s="63"/>
      <c r="E34" s="63"/>
      <c r="F34" s="63"/>
      <c r="G34" s="66"/>
      <c r="H34" s="66"/>
      <c r="I34" s="63"/>
      <c r="J34" s="66"/>
      <c r="K34" s="66"/>
      <c r="L34" s="66"/>
      <c r="M34" s="66"/>
      <c r="N34" s="63"/>
      <c r="O34" s="63"/>
      <c r="P34" s="63"/>
      <c r="U34" s="76"/>
      <c r="V34" s="76"/>
      <c r="W34" s="76"/>
      <c r="X34" s="76"/>
      <c r="Y34" s="76"/>
      <c r="Z34" s="67"/>
    </row>
    <row r="35" spans="1:29" s="26" customFormat="1" ht="17.25" thickBot="1" x14ac:dyDescent="0.35">
      <c r="A35" s="77" t="s">
        <v>0</v>
      </c>
      <c r="B35" s="78">
        <f>SUM(B20:B33)</f>
        <v>0</v>
      </c>
      <c r="C35" s="78">
        <f t="shared" ref="C35:P35" si="19">SUM(C20:C33)</f>
        <v>0</v>
      </c>
      <c r="D35" s="78">
        <f t="shared" si="19"/>
        <v>0</v>
      </c>
      <c r="E35" s="78">
        <f t="shared" si="19"/>
        <v>0</v>
      </c>
      <c r="F35" s="78">
        <f t="shared" si="19"/>
        <v>0</v>
      </c>
      <c r="G35" s="78">
        <f t="shared" si="19"/>
        <v>0</v>
      </c>
      <c r="H35" s="78">
        <f t="shared" si="19"/>
        <v>0</v>
      </c>
      <c r="I35" s="78">
        <f t="shared" si="19"/>
        <v>0</v>
      </c>
      <c r="J35" s="78">
        <f t="shared" si="19"/>
        <v>0</v>
      </c>
      <c r="K35" s="78">
        <f t="shared" si="19"/>
        <v>0</v>
      </c>
      <c r="L35" s="78">
        <f t="shared" si="19"/>
        <v>0</v>
      </c>
      <c r="M35" s="78">
        <f t="shared" si="19"/>
        <v>0</v>
      </c>
      <c r="N35" s="78">
        <f t="shared" si="19"/>
        <v>0</v>
      </c>
      <c r="O35" s="78">
        <f t="shared" si="19"/>
        <v>0</v>
      </c>
      <c r="P35" s="78">
        <f t="shared" si="19"/>
        <v>0</v>
      </c>
      <c r="Q35" s="79"/>
      <c r="U35" s="80">
        <f>SUM(U20:U34)</f>
        <v>360</v>
      </c>
      <c r="V35" s="80"/>
      <c r="W35" s="67">
        <f>SUM(W20:W31)</f>
        <v>0</v>
      </c>
      <c r="X35" s="67">
        <f>SUM(X20:X31)</f>
        <v>0</v>
      </c>
      <c r="Y35" s="80"/>
      <c r="Z35" s="80"/>
    </row>
    <row r="36" spans="1:29" s="81" customFormat="1" ht="15.75" customHeight="1" thickTop="1" x14ac:dyDescent="0.15">
      <c r="B36" s="82"/>
      <c r="C36" s="82"/>
      <c r="D36" s="82"/>
      <c r="E36" s="82"/>
      <c r="F36" s="98" t="str">
        <f>IF(H36="","","Total AHV+ALV:")</f>
        <v/>
      </c>
      <c r="G36" s="98"/>
      <c r="H36" s="139" t="str">
        <f>IF(G35=0,"",G35+H35)</f>
        <v/>
      </c>
      <c r="I36" s="98" t="str">
        <f>IF(H36="","","Total AHV+ALV+NBU:")</f>
        <v/>
      </c>
      <c r="J36" s="98"/>
      <c r="K36" s="98"/>
      <c r="L36" s="139" t="str">
        <f>IF(G35=0,"",H36+J35)</f>
        <v/>
      </c>
      <c r="M36" s="82"/>
      <c r="N36" s="82"/>
      <c r="O36" s="82"/>
      <c r="P36" s="82"/>
      <c r="Q36" s="82"/>
      <c r="R36" s="82"/>
      <c r="V36" s="83"/>
      <c r="W36" s="83"/>
      <c r="X36" s="83"/>
      <c r="Y36" s="83"/>
      <c r="Z36" s="83"/>
      <c r="AA36" s="83"/>
    </row>
    <row r="37" spans="1:29" x14ac:dyDescent="0.3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29" x14ac:dyDescent="0.3">
      <c r="A38" s="26" t="s">
        <v>35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1:29" x14ac:dyDescent="0.3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28"/>
      <c r="R39" s="27"/>
      <c r="S39" s="41">
        <f>R31+1</f>
        <v>46023</v>
      </c>
    </row>
    <row r="40" spans="1:29" x14ac:dyDescent="0.3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28"/>
      <c r="R40" s="27"/>
    </row>
    <row r="41" spans="1:29" x14ac:dyDescent="0.3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28"/>
      <c r="R41" s="27"/>
    </row>
    <row r="42" spans="1:29" x14ac:dyDescent="0.3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28"/>
      <c r="R42" s="27"/>
    </row>
    <row r="43" spans="1:29" x14ac:dyDescent="0.3">
      <c r="A43" s="113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88"/>
      <c r="R43" s="27"/>
    </row>
    <row r="44" spans="1:29" x14ac:dyDescent="0.3">
      <c r="A44" s="113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28"/>
    </row>
    <row r="45" spans="1:29" x14ac:dyDescent="0.3">
      <c r="A45" s="113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28"/>
    </row>
    <row r="46" spans="1:29" x14ac:dyDescent="0.3">
      <c r="A46" s="113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28"/>
    </row>
    <row r="47" spans="1:29" x14ac:dyDescent="0.3">
      <c r="A47" s="113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28"/>
    </row>
    <row r="48" spans="1:29" x14ac:dyDescent="0.3">
      <c r="Q48" s="28"/>
    </row>
    <row r="50" spans="1:18" x14ac:dyDescent="0.3">
      <c r="A50" s="26"/>
      <c r="Q50" s="30"/>
    </row>
    <row r="51" spans="1:18" x14ac:dyDescent="0.3">
      <c r="A51" s="29"/>
      <c r="H51" s="84"/>
      <c r="Q51" s="30"/>
    </row>
    <row r="52" spans="1:18" x14ac:dyDescent="0.3">
      <c r="A52" s="31"/>
      <c r="Q52" s="85"/>
    </row>
    <row r="54" spans="1:18" x14ac:dyDescent="0.3">
      <c r="A54" s="26" t="s">
        <v>36</v>
      </c>
      <c r="Q54" s="27"/>
    </row>
    <row r="55" spans="1:18" x14ac:dyDescent="0.3">
      <c r="A55" s="113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28"/>
    </row>
    <row r="56" spans="1:18" s="1" customFormat="1" x14ac:dyDescent="0.3">
      <c r="A56" s="113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28"/>
    </row>
    <row r="57" spans="1:18" s="1" customFormat="1" x14ac:dyDescent="0.3">
      <c r="A57" s="113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28"/>
    </row>
    <row r="58" spans="1:18" x14ac:dyDescent="0.3">
      <c r="A58" s="113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28"/>
      <c r="R58" s="28"/>
    </row>
    <row r="59" spans="1:18" s="1" customFormat="1" x14ac:dyDescent="0.3">
      <c r="A59" s="113"/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28"/>
      <c r="R59" s="28"/>
    </row>
    <row r="60" spans="1:18" s="1" customFormat="1" x14ac:dyDescent="0.3">
      <c r="A60" s="113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28"/>
      <c r="R60" s="28"/>
    </row>
    <row r="61" spans="1:18" x14ac:dyDescent="0.3">
      <c r="A61" s="113"/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28"/>
      <c r="R61" s="28"/>
    </row>
    <row r="62" spans="1:18" s="1" customFormat="1" x14ac:dyDescent="0.3">
      <c r="A62" s="113"/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28"/>
      <c r="R62" s="28"/>
    </row>
    <row r="63" spans="1:18" s="1" customFormat="1" x14ac:dyDescent="0.3">
      <c r="A63" s="113"/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28"/>
      <c r="R63" s="28"/>
    </row>
    <row r="64" spans="1:18" x14ac:dyDescent="0.3">
      <c r="A64" s="113"/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28"/>
      <c r="R64" s="28"/>
    </row>
    <row r="65" spans="1:18" s="1" customFormat="1" x14ac:dyDescent="0.3">
      <c r="A65" s="113"/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28"/>
      <c r="R65" s="28"/>
    </row>
    <row r="66" spans="1:18" s="1" customFormat="1" x14ac:dyDescent="0.3">
      <c r="A66" s="113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28"/>
      <c r="R66" s="28"/>
    </row>
    <row r="67" spans="1:18" s="1" customFormat="1" x14ac:dyDescent="0.3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</row>
    <row r="68" spans="1:18" s="1" customFormat="1" x14ac:dyDescent="0.3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x14ac:dyDescent="0.3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</row>
    <row r="70" spans="1:18" x14ac:dyDescent="0.3">
      <c r="R70" s="28"/>
    </row>
  </sheetData>
  <sheetProtection algorithmName="SHA-512" hashValue="Jpyfgi+9Fv1gOWT/WhHpX68OhbvS1cQObuc5OONriwrglbyuWJEWuy3VB3OS6C0y3k1ZcrT5R2+OdbHHyvT5JA==" saltValue="AeZx/STotQ6pDjFxD5mD9A==" spinCount="100000" sheet="1" objects="1" scenarios="1"/>
  <mergeCells count="52">
    <mergeCell ref="A16:A18"/>
    <mergeCell ref="B16:B18"/>
    <mergeCell ref="I16:I18"/>
    <mergeCell ref="C10:D10"/>
    <mergeCell ref="C12:D12"/>
    <mergeCell ref="D15:G15"/>
    <mergeCell ref="C16:C18"/>
    <mergeCell ref="D16:D18"/>
    <mergeCell ref="E16:E18"/>
    <mergeCell ref="F16:F18"/>
    <mergeCell ref="G16:G17"/>
    <mergeCell ref="H16:H17"/>
    <mergeCell ref="H10:L10"/>
    <mergeCell ref="H4:I4"/>
    <mergeCell ref="C5:E5"/>
    <mergeCell ref="H5:I5"/>
    <mergeCell ref="C6:E6"/>
    <mergeCell ref="C9:D9"/>
    <mergeCell ref="C4:E4"/>
    <mergeCell ref="C7:E7"/>
    <mergeCell ref="Q17:R17"/>
    <mergeCell ref="S17:T17"/>
    <mergeCell ref="F36:G36"/>
    <mergeCell ref="I36:K36"/>
    <mergeCell ref="M16:M17"/>
    <mergeCell ref="N16:N18"/>
    <mergeCell ref="P16:P18"/>
    <mergeCell ref="O16:O18"/>
    <mergeCell ref="K16:K17"/>
    <mergeCell ref="L16:L17"/>
    <mergeCell ref="J16:J17"/>
    <mergeCell ref="A55:P55"/>
    <mergeCell ref="A39:P39"/>
    <mergeCell ref="A40:P40"/>
    <mergeCell ref="A41:P41"/>
    <mergeCell ref="A42:P42"/>
    <mergeCell ref="A43:P43"/>
    <mergeCell ref="A44:P44"/>
    <mergeCell ref="A45:P45"/>
    <mergeCell ref="A46:P46"/>
    <mergeCell ref="A47:P47"/>
    <mergeCell ref="A64:P64"/>
    <mergeCell ref="A65:P65"/>
    <mergeCell ref="A66:P66"/>
    <mergeCell ref="A56:P56"/>
    <mergeCell ref="A57:P57"/>
    <mergeCell ref="A58:P58"/>
    <mergeCell ref="A59:P59"/>
    <mergeCell ref="A60:P60"/>
    <mergeCell ref="A61:P61"/>
    <mergeCell ref="A62:P62"/>
    <mergeCell ref="A63:P63"/>
  </mergeCells>
  <phoneticPr fontId="0" type="noConversion"/>
  <dataValidations count="1">
    <dataValidation type="textLength" operator="equal" allowBlank="1" showInputMessage="1" showErrorMessage="1" errorTitle="Bitte korrigieren:" error="m = männlich_x000a_w = weiblich" sqref="I7" xr:uid="{00000000-0002-0000-0600-000000000000}">
      <formula1>1</formula1>
    </dataValidation>
  </dataValidations>
  <printOptions horizontalCentered="1"/>
  <pageMargins left="1.0629921259842521" right="0.78740157480314965" top="0.59055118110236227" bottom="0.59055118110236227" header="0.51181102362204722" footer="0.31496062992125984"/>
  <pageSetup paperSize="9" scale="63" orientation="landscape" r:id="rId1"/>
  <headerFooter>
    <oddFooter>&amp;L&amp;G&amp;C&amp;"Segoe UI Semilight,Standard"&amp;K1D71B8Bern | Biel/Bienne&amp;R&amp;"Segoe UI Semilight,Standard"&amp;K1D71B8strasser-ag.ch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7"/>
  <dimension ref="A1:AD70"/>
  <sheetViews>
    <sheetView showGridLines="0" topLeftCell="A27" zoomScale="90" zoomScaleNormal="90" workbookViewId="0">
      <selection activeCell="B20" sqref="B20"/>
    </sheetView>
  </sheetViews>
  <sheetFormatPr baseColWidth="10" defaultColWidth="11.28515625" defaultRowHeight="16.5" x14ac:dyDescent="0.3"/>
  <cols>
    <col min="1" max="1" width="16" style="25" customWidth="1"/>
    <col min="2" max="15" width="12.140625" style="25" customWidth="1"/>
    <col min="16" max="16" width="11.85546875" style="25" bestFit="1" customWidth="1"/>
    <col min="17" max="17" width="10.7109375" style="25" hidden="1" customWidth="1"/>
    <col min="18" max="18" width="11" style="25" hidden="1" customWidth="1"/>
    <col min="19" max="19" width="10.7109375" style="25" hidden="1" customWidth="1"/>
    <col min="20" max="20" width="11" style="25" hidden="1" customWidth="1"/>
    <col min="21" max="21" width="14.85546875" style="25" hidden="1" customWidth="1"/>
    <col min="22" max="22" width="14.28515625" style="25" hidden="1" customWidth="1"/>
    <col min="23" max="23" width="7.85546875" style="25" hidden="1" customWidth="1"/>
    <col min="24" max="24" width="9.85546875" style="25" hidden="1" customWidth="1"/>
    <col min="25" max="25" width="12.7109375" style="25" hidden="1" customWidth="1"/>
    <col min="26" max="26" width="14" style="25" hidden="1" customWidth="1"/>
    <col min="27" max="27" width="17.5703125" style="25" hidden="1" customWidth="1"/>
    <col min="28" max="28" width="11.5703125" style="25" hidden="1" customWidth="1"/>
    <col min="29" max="30" width="14.28515625" style="25" hidden="1" customWidth="1"/>
    <col min="31" max="31" width="11.28515625" style="25" customWidth="1"/>
    <col min="32" max="16384" width="11.28515625" style="25"/>
  </cols>
  <sheetData>
    <row r="1" spans="1:18" s="34" customFormat="1" ht="20.25" x14ac:dyDescent="0.35">
      <c r="A1" s="32" t="s">
        <v>42</v>
      </c>
      <c r="B1" s="33">
        <f>Jahr</f>
        <v>2025</v>
      </c>
      <c r="P1" s="35">
        <f>Firma</f>
        <v>0</v>
      </c>
    </row>
    <row r="2" spans="1:18" s="34" customFormat="1" ht="20.25" x14ac:dyDescent="0.35">
      <c r="E2" s="36"/>
      <c r="P2" s="35">
        <f>Ort</f>
        <v>0</v>
      </c>
    </row>
    <row r="3" spans="1:18" s="34" customFormat="1" x14ac:dyDescent="0.3">
      <c r="Q3" s="37"/>
    </row>
    <row r="4" spans="1:18" s="34" customFormat="1" x14ac:dyDescent="0.3">
      <c r="A4" s="38" t="s">
        <v>2</v>
      </c>
      <c r="C4" s="134"/>
      <c r="D4" s="134"/>
      <c r="E4" s="134"/>
      <c r="G4" s="39" t="s">
        <v>3</v>
      </c>
      <c r="H4" s="132"/>
      <c r="I4" s="132"/>
      <c r="J4" s="40" t="str">
        <f>IF(H4&gt;R31,"Achtung, ungültiges Datum"," ")</f>
        <v xml:space="preserve"> </v>
      </c>
      <c r="R4" s="41">
        <f>IF(H4&gt;Q20,H4,Q20)</f>
        <v>45658</v>
      </c>
    </row>
    <row r="5" spans="1:18" s="34" customFormat="1" x14ac:dyDescent="0.3">
      <c r="A5" s="38" t="s">
        <v>4</v>
      </c>
      <c r="C5" s="133"/>
      <c r="D5" s="133"/>
      <c r="E5" s="133"/>
      <c r="G5" s="39" t="s">
        <v>5</v>
      </c>
      <c r="H5" s="132"/>
      <c r="I5" s="132"/>
      <c r="J5" s="40" t="str">
        <f>IF(H5=0," ",IF(H5&lt;Q20,"Achtung, ungültiges Datum"," "))</f>
        <v xml:space="preserve"> </v>
      </c>
      <c r="R5" s="41">
        <f>IF(H5=0,R31,IF(H5&gt;R31,R31,H5))</f>
        <v>46022</v>
      </c>
    </row>
    <row r="6" spans="1:18" s="34" customFormat="1" ht="17.649999999999999" customHeight="1" x14ac:dyDescent="0.3">
      <c r="A6" s="38" t="s">
        <v>6</v>
      </c>
      <c r="C6" s="133"/>
      <c r="D6" s="133"/>
      <c r="E6" s="133"/>
      <c r="H6" s="42" t="str">
        <f>IF(H5&lt;H4,IF(H5="","","Achtung: Fehler Eintritt / Austritt"),"")</f>
        <v/>
      </c>
      <c r="I6" s="43"/>
    </row>
    <row r="7" spans="1:18" s="34" customFormat="1" ht="17.649999999999999" customHeight="1" x14ac:dyDescent="0.3">
      <c r="A7" s="38" t="s">
        <v>33</v>
      </c>
      <c r="C7" s="133"/>
      <c r="D7" s="133"/>
      <c r="E7" s="133"/>
      <c r="G7" s="39" t="s">
        <v>7</v>
      </c>
      <c r="I7" s="44"/>
      <c r="J7" s="45" t="str">
        <f>IF(E13=1,IF(I7="M","Achtung: Mitarbeiter wird pensioniert per:",IF(E13=1,"Achtung: Mitarbeiterin wird pensioniert per:","")),"")</f>
        <v/>
      </c>
      <c r="N7" s="46" t="str">
        <f>IF(E13=1,C14," ")</f>
        <v xml:space="preserve"> </v>
      </c>
      <c r="O7" s="46"/>
    </row>
    <row r="8" spans="1:18" s="34" customFormat="1" x14ac:dyDescent="0.3">
      <c r="A8" s="38"/>
      <c r="C8" s="42" t="str">
        <f>IF((B35+C35)&lt;&gt;0,IF(C4="","Achtung: Name, Vorname und Adresse eingeben!",""),"")</f>
        <v/>
      </c>
      <c r="D8" s="37"/>
      <c r="E8" s="37"/>
      <c r="I8" s="42" t="str">
        <f>IF((B35+C35)&lt;&gt;0,IF(I7="","Achtung: 'm' für männlich, 'w' für weiblich eingeben!",""),"")</f>
        <v/>
      </c>
      <c r="K8" s="43"/>
    </row>
    <row r="9" spans="1:18" s="34" customFormat="1" x14ac:dyDescent="0.3">
      <c r="A9" s="38" t="s">
        <v>54</v>
      </c>
      <c r="C9" s="135"/>
      <c r="D9" s="135"/>
      <c r="E9" s="47"/>
      <c r="F9" s="48" t="str">
        <f ca="1">IF(D13&gt;=1,"Referenzalter erreicht ab","")</f>
        <v/>
      </c>
      <c r="G9" s="49" t="str">
        <f ca="1">IF(D13=1,C14, " ")</f>
        <v xml:space="preserve"> </v>
      </c>
      <c r="H9" s="50" t="str">
        <f ca="1">IF(F9&gt;" ","AHV-Freibetrag von Fr. 1'400.-- pro Monat berücksichtigen! Kein ALV-Abzug mehr; Korrektur unter Spalte M oder N","")</f>
        <v/>
      </c>
      <c r="I9" s="1"/>
      <c r="J9" s="1"/>
      <c r="K9" s="1"/>
      <c r="L9" s="1"/>
      <c r="M9" s="1"/>
      <c r="N9" s="1"/>
      <c r="O9" s="1"/>
      <c r="P9" s="1"/>
      <c r="Q9" s="1"/>
    </row>
    <row r="10" spans="1:18" s="34" customFormat="1" x14ac:dyDescent="0.3">
      <c r="A10" s="38" t="s">
        <v>55</v>
      </c>
      <c r="C10" s="135"/>
      <c r="D10" s="135"/>
      <c r="E10" s="37"/>
      <c r="F10" s="45"/>
      <c r="G10" s="51"/>
      <c r="H10" s="137" t="str">
        <f ca="1">IF(H9&gt;" ","Mitarbeitende können neu freiwillig auf den AHV-Freibetrag verzichten","")</f>
        <v/>
      </c>
      <c r="I10" s="137"/>
      <c r="J10" s="137"/>
      <c r="K10" s="137"/>
      <c r="L10" s="137"/>
    </row>
    <row r="11" spans="1:18" s="34" customFormat="1" x14ac:dyDescent="0.3">
      <c r="A11" s="38"/>
      <c r="C11" s="52"/>
      <c r="D11" s="52"/>
      <c r="E11" s="45"/>
      <c r="F11" s="53" t="str">
        <f>IF(F13&lt;18,IF(C13&gt;0,"Achtung:",""),"")</f>
        <v/>
      </c>
      <c r="G11" s="51" t="str">
        <f>IF(F11&gt;" ","Angestellte Person ist unter 18 Jahre!","")</f>
        <v/>
      </c>
      <c r="P11" s="54"/>
    </row>
    <row r="12" spans="1:18" s="34" customFormat="1" x14ac:dyDescent="0.3">
      <c r="A12" s="38" t="s">
        <v>8</v>
      </c>
      <c r="C12" s="136"/>
      <c r="D12" s="136"/>
      <c r="E12" s="45"/>
      <c r="G12" s="51" t="str">
        <f>IF(F11&gt;" ","Lohn unter 'nicht AHV-pflichtig' eintragen und ALV manuell auf 0% stellen!","")</f>
        <v/>
      </c>
    </row>
    <row r="13" spans="1:18" s="34" customFormat="1" hidden="1" x14ac:dyDescent="0.3">
      <c r="A13" s="56" t="s">
        <v>62</v>
      </c>
      <c r="B13" s="57"/>
      <c r="C13" s="58" t="b">
        <f>IF($C$12&gt;0,IF(I7="W",EDATE($C$12,(12*64.33)),IF(I7="M",EDATE($C$12,65*12))))</f>
        <v>0</v>
      </c>
      <c r="D13" s="59">
        <f ca="1">IF(C14&gt;TODAY(),0,1)</f>
        <v>0</v>
      </c>
      <c r="E13" s="60">
        <f>IF(C14-($Q$20-1)&lt;365.25,IF(C14-($Q$20-1)&gt;0,1,0),0)</f>
        <v>0</v>
      </c>
      <c r="F13" s="34">
        <f>(R31-C12)/365.25</f>
        <v>126.00136892539356</v>
      </c>
    </row>
    <row r="14" spans="1:18" s="34" customFormat="1" hidden="1" x14ac:dyDescent="0.3">
      <c r="A14" s="56" t="s">
        <v>63</v>
      </c>
      <c r="B14" s="57"/>
      <c r="C14" s="61">
        <f>IFERROR(IF(I7="W",IF(C12&gt;22281,EOMONTH(C13,1),EOMONTH(C13,-2)),EOMONTH(C13,1)),DATE(2900,1,1))</f>
        <v>365245</v>
      </c>
      <c r="E14" s="60"/>
    </row>
    <row r="15" spans="1:18" s="34" customFormat="1" x14ac:dyDescent="0.3">
      <c r="A15" s="37"/>
      <c r="D15" s="130" t="s">
        <v>41</v>
      </c>
      <c r="E15" s="130"/>
      <c r="F15" s="130"/>
      <c r="G15" s="131"/>
      <c r="H15" s="62"/>
      <c r="I15" s="63"/>
      <c r="J15" s="62"/>
      <c r="K15" s="62"/>
    </row>
    <row r="16" spans="1:18" s="16" customFormat="1" ht="12.75" customHeight="1" x14ac:dyDescent="0.25">
      <c r="A16" s="117" t="s">
        <v>9</v>
      </c>
      <c r="B16" s="117" t="str">
        <f>Zusammenstellung!C21</f>
        <v>AHV-Lohn</v>
      </c>
      <c r="C16" s="117" t="str">
        <f>Zusammenstellung!D21</f>
        <v>nicht AHV-pflichtig</v>
      </c>
      <c r="D16" s="117" t="str">
        <f>Zusammenstellung!E21</f>
        <v>Unfall- und
Kranken-
taggeld</v>
      </c>
      <c r="E16" s="117" t="str">
        <f>Zusammenstellung!F21</f>
        <v>Kinder-
zulagen</v>
      </c>
      <c r="F16" s="117" t="str">
        <f>Zusammenstellung!G21</f>
        <v>Total Bruttolohn</v>
      </c>
      <c r="G16" s="128" t="str">
        <f>Zusammenstellung!H21</f>
        <v>AHV</v>
      </c>
      <c r="H16" s="128" t="str">
        <f>Zusammenstellung!I21</f>
        <v>ALV</v>
      </c>
      <c r="I16" s="117" t="str">
        <f>Zusammenstellung!J21</f>
        <v>BVG</v>
      </c>
      <c r="J16" s="128" t="str">
        <f>Zusammenstellung!K21</f>
        <v>NBU</v>
      </c>
      <c r="K16" s="128" t="str">
        <f>Zusammenstellung!L21</f>
        <v>KTG</v>
      </c>
      <c r="L16" s="120"/>
      <c r="M16" s="120"/>
      <c r="N16" s="117" t="str">
        <f>Zusammenstellung!O21</f>
        <v>Nettolohn</v>
      </c>
      <c r="O16" s="117" t="str">
        <f>Zusammenstellung!P21</f>
        <v xml:space="preserve">Spesen </v>
      </c>
      <c r="P16" s="117" t="str">
        <f>Zusammenstellung!Q21</f>
        <v>Auszahlung</v>
      </c>
    </row>
    <row r="17" spans="1:29" s="16" customFormat="1" ht="14.25" x14ac:dyDescent="0.25">
      <c r="A17" s="118"/>
      <c r="B17" s="118"/>
      <c r="C17" s="118"/>
      <c r="D17" s="118"/>
      <c r="E17" s="118"/>
      <c r="F17" s="118"/>
      <c r="G17" s="129"/>
      <c r="H17" s="129"/>
      <c r="I17" s="118"/>
      <c r="J17" s="129"/>
      <c r="K17" s="129"/>
      <c r="L17" s="121"/>
      <c r="M17" s="121"/>
      <c r="N17" s="118"/>
      <c r="O17" s="118"/>
      <c r="P17" s="118"/>
      <c r="Q17" s="115" t="s">
        <v>9</v>
      </c>
      <c r="R17" s="116"/>
      <c r="S17" s="116" t="s">
        <v>45</v>
      </c>
      <c r="T17" s="116"/>
      <c r="U17" s="16" t="s">
        <v>46</v>
      </c>
      <c r="V17" s="16" t="s">
        <v>47</v>
      </c>
      <c r="W17" s="16" t="s">
        <v>50</v>
      </c>
      <c r="X17" s="16" t="s">
        <v>60</v>
      </c>
      <c r="Y17" s="16" t="s">
        <v>51</v>
      </c>
      <c r="Z17" s="16" t="s">
        <v>61</v>
      </c>
      <c r="AA17" s="16" t="s">
        <v>49</v>
      </c>
      <c r="AB17" s="16" t="s">
        <v>48</v>
      </c>
      <c r="AC17" s="16" t="s">
        <v>59</v>
      </c>
    </row>
    <row r="18" spans="1:29" s="16" customFormat="1" ht="14.25" x14ac:dyDescent="0.2">
      <c r="A18" s="119"/>
      <c r="B18" s="119"/>
      <c r="C18" s="119"/>
      <c r="D18" s="119"/>
      <c r="E18" s="119"/>
      <c r="F18" s="119"/>
      <c r="G18" s="64">
        <f>AHV</f>
        <v>5.2999999999999999E-2</v>
      </c>
      <c r="H18" s="64">
        <f>IF(H15="",ALV,H15)</f>
        <v>1.0999999999999999E-2</v>
      </c>
      <c r="I18" s="119"/>
      <c r="J18" s="64">
        <f>IF(J15="",NBU,J15)</f>
        <v>1.4E-2</v>
      </c>
      <c r="K18" s="64">
        <f>IF(K15="",IF(I7="w",KTGW,KTG),K15)</f>
        <v>0.01</v>
      </c>
      <c r="L18" s="17"/>
      <c r="M18" s="17"/>
      <c r="N18" s="119"/>
      <c r="O18" s="119"/>
      <c r="P18" s="119"/>
      <c r="Q18" s="65" t="s">
        <v>43</v>
      </c>
      <c r="R18" s="65" t="s">
        <v>44</v>
      </c>
      <c r="S18" s="65" t="s">
        <v>43</v>
      </c>
      <c r="T18" s="65" t="s">
        <v>44</v>
      </c>
    </row>
    <row r="19" spans="1:29" s="16" customFormat="1" x14ac:dyDescent="0.3">
      <c r="A19" s="63"/>
      <c r="B19" s="63"/>
      <c r="C19" s="63"/>
      <c r="D19" s="63"/>
      <c r="E19" s="63"/>
      <c r="F19" s="63"/>
      <c r="G19" s="66"/>
      <c r="H19" s="66"/>
      <c r="I19" s="63"/>
      <c r="J19" s="66"/>
      <c r="K19" s="66"/>
      <c r="L19" s="66"/>
      <c r="M19" s="66"/>
      <c r="N19" s="63"/>
      <c r="O19" s="63"/>
      <c r="P19" s="63"/>
      <c r="Z19" s="67"/>
    </row>
    <row r="20" spans="1:29" x14ac:dyDescent="0.3">
      <c r="A20" s="68">
        <v>38383</v>
      </c>
      <c r="B20" s="69"/>
      <c r="C20" s="69"/>
      <c r="D20" s="69"/>
      <c r="E20" s="69"/>
      <c r="F20" s="70">
        <f>SUM(B20:E20)</f>
        <v>0</v>
      </c>
      <c r="G20" s="71">
        <f>ROUND($B20*G$18/5,2)*5</f>
        <v>0</v>
      </c>
      <c r="H20" s="71">
        <f t="shared" ref="H20:H33" si="0">ROUND(W20*$H$18/5,2)*5</f>
        <v>0</v>
      </c>
      <c r="I20" s="69"/>
      <c r="J20" s="71">
        <f t="shared" ref="J20:J33" si="1">ROUND(W20*$J$18/5,2)*5</f>
        <v>0</v>
      </c>
      <c r="K20" s="71">
        <f t="shared" ref="K20:K33" si="2">ROUND(($B20+$C20)*K$18/5,2)*5</f>
        <v>0</v>
      </c>
      <c r="L20" s="69"/>
      <c r="M20" s="69"/>
      <c r="N20" s="71">
        <f>F20-G20-H20-J20-K20-L20-M20-I20</f>
        <v>0</v>
      </c>
      <c r="O20" s="69"/>
      <c r="P20" s="70">
        <f>N20+O20</f>
        <v>0</v>
      </c>
      <c r="Q20" s="72">
        <v>45658</v>
      </c>
      <c r="R20" s="41">
        <f>Q20+30</f>
        <v>45688</v>
      </c>
      <c r="S20" s="41">
        <f>IF($R$4&gt;R20,0,IF($R$4&gt;Q20,$R$4,Q20))</f>
        <v>45658</v>
      </c>
      <c r="T20" s="41">
        <f>IF(S20=0,0,IF($R$5&gt;R20,R20,IF(S20&gt;$R$5,(S20)-1,$R$5)))</f>
        <v>45688</v>
      </c>
      <c r="U20" s="73">
        <f>IF(S20=0,0,DAYS360(S20,T20,1)+1)</f>
        <v>30</v>
      </c>
      <c r="V20" s="73">
        <f>U20</f>
        <v>30</v>
      </c>
      <c r="W20" s="67">
        <f>IF(AA20&gt;AB20,AB20-Y19,AA20-Y19)</f>
        <v>0</v>
      </c>
      <c r="X20" s="67">
        <f>IF(AA20&lt;(AB20),0,IF(AA20&gt;(AB20+AC20),AC20-Z19,AA20-Z19-AB20))</f>
        <v>0</v>
      </c>
      <c r="Y20" s="67">
        <f>W20</f>
        <v>0</v>
      </c>
      <c r="Z20" s="67">
        <f>X20</f>
        <v>0</v>
      </c>
      <c r="AA20" s="67">
        <f>B20+C20</f>
        <v>0</v>
      </c>
      <c r="AB20" s="67">
        <f>ALVMAX/360*V20</f>
        <v>12350</v>
      </c>
      <c r="AC20" s="67">
        <f>(ALVMAX2/360*V20)-AB20</f>
        <v>8320983.2500000009</v>
      </c>
    </row>
    <row r="21" spans="1:29" x14ac:dyDescent="0.3">
      <c r="A21" s="68">
        <v>38411</v>
      </c>
      <c r="B21" s="69"/>
      <c r="C21" s="69"/>
      <c r="D21" s="69"/>
      <c r="E21" s="69"/>
      <c r="F21" s="70">
        <f t="shared" ref="F21:F33" si="3">SUM(B21:E21)</f>
        <v>0</v>
      </c>
      <c r="G21" s="71">
        <f t="shared" ref="G21:G33" si="4">ROUND(B21*$G$18/5,2)*5</f>
        <v>0</v>
      </c>
      <c r="H21" s="71">
        <f t="shared" si="0"/>
        <v>0</v>
      </c>
      <c r="I21" s="69"/>
      <c r="J21" s="71">
        <f t="shared" si="1"/>
        <v>0</v>
      </c>
      <c r="K21" s="71">
        <f t="shared" si="2"/>
        <v>0</v>
      </c>
      <c r="L21" s="69"/>
      <c r="M21" s="69"/>
      <c r="N21" s="71">
        <f t="shared" ref="N21:N33" si="5">F21-G21-H21-J21-K21-L21-M21-I21</f>
        <v>0</v>
      </c>
      <c r="O21" s="69"/>
      <c r="P21" s="70">
        <f t="shared" ref="P21:P33" si="6">N21+O21</f>
        <v>0</v>
      </c>
      <c r="Q21" s="41">
        <f>R20+1</f>
        <v>45689</v>
      </c>
      <c r="R21" s="72">
        <v>45716</v>
      </c>
      <c r="S21" s="41">
        <f t="shared" ref="S21:S31" si="7">IF($R$4&gt;R21,0,IF($R$4&gt;Q21,$R$4,Q21))</f>
        <v>45689</v>
      </c>
      <c r="T21" s="41">
        <f t="shared" ref="T21:T31" si="8">IF(S21=0,0,IF($R$5&gt;R21,R21,IF(S21&gt;$R$5,(S21)-1,$R$5)))</f>
        <v>45716</v>
      </c>
      <c r="U21" s="73">
        <f>IF(S21=0,0,IF(R21=T21,DAYS360(S21,T21,1)+3,DAYS360(S21,T21,1)+1))</f>
        <v>30</v>
      </c>
      <c r="V21" s="73">
        <f>V20+U21</f>
        <v>60</v>
      </c>
      <c r="W21" s="67">
        <f>IF(AA21&gt;AB21,AB21-Y20,AA21-Y20)</f>
        <v>0</v>
      </c>
      <c r="X21" s="67">
        <f>IF(AA21&lt;(AB21),0,IF(AA21&gt;(AB21+AC21),AC21-Z20,AA21-Z20-AB21))</f>
        <v>0</v>
      </c>
      <c r="Y21" s="67">
        <f t="shared" ref="Y21:Y33" si="9">Y20+W21</f>
        <v>0</v>
      </c>
      <c r="Z21" s="67">
        <f>X21+Z20</f>
        <v>0</v>
      </c>
      <c r="AA21" s="67">
        <f t="shared" ref="AA21:AA33" si="10">AA20+B21+C21</f>
        <v>0</v>
      </c>
      <c r="AB21" s="67">
        <f t="shared" ref="AB21:AB31" si="11">ALVMAX/360*V21</f>
        <v>24700</v>
      </c>
      <c r="AC21" s="67">
        <f t="shared" ref="AC21:AC33" si="12">(ALVMAX2/360*V21)-AB21</f>
        <v>16641966.500000002</v>
      </c>
    </row>
    <row r="22" spans="1:29" x14ac:dyDescent="0.3">
      <c r="A22" s="68">
        <v>38442</v>
      </c>
      <c r="B22" s="69"/>
      <c r="C22" s="69"/>
      <c r="D22" s="69"/>
      <c r="E22" s="69"/>
      <c r="F22" s="70">
        <f t="shared" si="3"/>
        <v>0</v>
      </c>
      <c r="G22" s="71">
        <f t="shared" si="4"/>
        <v>0</v>
      </c>
      <c r="H22" s="71">
        <f t="shared" si="0"/>
        <v>0</v>
      </c>
      <c r="I22" s="69"/>
      <c r="J22" s="71">
        <f t="shared" si="1"/>
        <v>0</v>
      </c>
      <c r="K22" s="71">
        <f t="shared" si="2"/>
        <v>0</v>
      </c>
      <c r="L22" s="69"/>
      <c r="M22" s="69"/>
      <c r="N22" s="71">
        <f t="shared" si="5"/>
        <v>0</v>
      </c>
      <c r="O22" s="69"/>
      <c r="P22" s="70">
        <f t="shared" si="6"/>
        <v>0</v>
      </c>
      <c r="Q22" s="41">
        <f>R21+1</f>
        <v>45717</v>
      </c>
      <c r="R22" s="41">
        <f>Q22+30</f>
        <v>45747</v>
      </c>
      <c r="S22" s="41">
        <f t="shared" si="7"/>
        <v>45717</v>
      </c>
      <c r="T22" s="41">
        <f t="shared" si="8"/>
        <v>45747</v>
      </c>
      <c r="U22" s="73">
        <f>IF(S22=0,0,IF(T22=R21,DAYS360(S22,T22,1)+3,DAYS360(S22,T22,1)+1))</f>
        <v>30</v>
      </c>
      <c r="V22" s="73">
        <f t="shared" ref="V22:V31" si="13">V21+U22</f>
        <v>90</v>
      </c>
      <c r="W22" s="67">
        <f>IF(AA22&gt;AB22,AB22-Y21,AA22-Y21)</f>
        <v>0</v>
      </c>
      <c r="X22" s="67">
        <f t="shared" ref="X22:X33" si="14">IF(AA22&lt;(AB22),0,IF(AA22&gt;(AB22+AC22),AC22-Z21,AA22-Z21-AB22))</f>
        <v>0</v>
      </c>
      <c r="Y22" s="67">
        <f t="shared" si="9"/>
        <v>0</v>
      </c>
      <c r="Z22" s="67">
        <f t="shared" ref="Z22:Z33" si="15">X22+Z21</f>
        <v>0</v>
      </c>
      <c r="AA22" s="67">
        <f t="shared" si="10"/>
        <v>0</v>
      </c>
      <c r="AB22" s="67">
        <f t="shared" si="11"/>
        <v>37050</v>
      </c>
      <c r="AC22" s="67">
        <f t="shared" si="12"/>
        <v>24962949.750000004</v>
      </c>
    </row>
    <row r="23" spans="1:29" x14ac:dyDescent="0.3">
      <c r="A23" s="68">
        <v>38472</v>
      </c>
      <c r="B23" s="69"/>
      <c r="C23" s="69"/>
      <c r="D23" s="69"/>
      <c r="E23" s="69"/>
      <c r="F23" s="70">
        <f t="shared" si="3"/>
        <v>0</v>
      </c>
      <c r="G23" s="71">
        <f t="shared" si="4"/>
        <v>0</v>
      </c>
      <c r="H23" s="71">
        <f t="shared" si="0"/>
        <v>0</v>
      </c>
      <c r="I23" s="69"/>
      <c r="J23" s="71">
        <f t="shared" si="1"/>
        <v>0</v>
      </c>
      <c r="K23" s="71">
        <f t="shared" si="2"/>
        <v>0</v>
      </c>
      <c r="L23" s="69"/>
      <c r="M23" s="69"/>
      <c r="N23" s="71">
        <f t="shared" si="5"/>
        <v>0</v>
      </c>
      <c r="O23" s="69"/>
      <c r="P23" s="70">
        <f t="shared" si="6"/>
        <v>0</v>
      </c>
      <c r="Q23" s="41">
        <f t="shared" ref="Q23:Q31" si="16">R22+1</f>
        <v>45748</v>
      </c>
      <c r="R23" s="41">
        <f>Q23+29</f>
        <v>45777</v>
      </c>
      <c r="S23" s="41">
        <f t="shared" si="7"/>
        <v>45748</v>
      </c>
      <c r="T23" s="41">
        <f t="shared" si="8"/>
        <v>45777</v>
      </c>
      <c r="U23" s="73">
        <f t="shared" ref="U23:U31" si="17">IF(S23=0,0,DAYS360(S23,T23,1)+1)</f>
        <v>30</v>
      </c>
      <c r="V23" s="73">
        <f t="shared" si="13"/>
        <v>120</v>
      </c>
      <c r="W23" s="67">
        <f t="shared" ref="W23:W33" si="18">IF(AA23&gt;AB23,AB23-Y22,AA23-Y22)</f>
        <v>0</v>
      </c>
      <c r="X23" s="67">
        <f t="shared" si="14"/>
        <v>0</v>
      </c>
      <c r="Y23" s="67">
        <f t="shared" si="9"/>
        <v>0</v>
      </c>
      <c r="Z23" s="67">
        <f t="shared" si="15"/>
        <v>0</v>
      </c>
      <c r="AA23" s="67">
        <f t="shared" si="10"/>
        <v>0</v>
      </c>
      <c r="AB23" s="67">
        <f t="shared" si="11"/>
        <v>49400</v>
      </c>
      <c r="AC23" s="67">
        <f t="shared" si="12"/>
        <v>33283933.000000004</v>
      </c>
    </row>
    <row r="24" spans="1:29" x14ac:dyDescent="0.3">
      <c r="A24" s="68">
        <v>38503</v>
      </c>
      <c r="B24" s="69"/>
      <c r="C24" s="69"/>
      <c r="D24" s="69"/>
      <c r="E24" s="69"/>
      <c r="F24" s="70">
        <f t="shared" si="3"/>
        <v>0</v>
      </c>
      <c r="G24" s="71">
        <f t="shared" si="4"/>
        <v>0</v>
      </c>
      <c r="H24" s="71">
        <f t="shared" si="0"/>
        <v>0</v>
      </c>
      <c r="I24" s="69"/>
      <c r="J24" s="71">
        <f t="shared" si="1"/>
        <v>0</v>
      </c>
      <c r="K24" s="71">
        <f t="shared" si="2"/>
        <v>0</v>
      </c>
      <c r="L24" s="69"/>
      <c r="M24" s="69"/>
      <c r="N24" s="71">
        <f t="shared" si="5"/>
        <v>0</v>
      </c>
      <c r="O24" s="69"/>
      <c r="P24" s="70">
        <f t="shared" si="6"/>
        <v>0</v>
      </c>
      <c r="Q24" s="41">
        <f t="shared" si="16"/>
        <v>45778</v>
      </c>
      <c r="R24" s="41">
        <f>Q24+30</f>
        <v>45808</v>
      </c>
      <c r="S24" s="41">
        <f t="shared" si="7"/>
        <v>45778</v>
      </c>
      <c r="T24" s="41">
        <f t="shared" si="8"/>
        <v>45808</v>
      </c>
      <c r="U24" s="73">
        <f t="shared" si="17"/>
        <v>30</v>
      </c>
      <c r="V24" s="73">
        <f t="shared" si="13"/>
        <v>150</v>
      </c>
      <c r="W24" s="67">
        <f t="shared" si="18"/>
        <v>0</v>
      </c>
      <c r="X24" s="67">
        <f t="shared" si="14"/>
        <v>0</v>
      </c>
      <c r="Y24" s="67">
        <f t="shared" si="9"/>
        <v>0</v>
      </c>
      <c r="Z24" s="67">
        <f t="shared" si="15"/>
        <v>0</v>
      </c>
      <c r="AA24" s="67">
        <f t="shared" si="10"/>
        <v>0</v>
      </c>
      <c r="AB24" s="67">
        <f t="shared" si="11"/>
        <v>61750</v>
      </c>
      <c r="AC24" s="67">
        <f t="shared" si="12"/>
        <v>41604916.25</v>
      </c>
    </row>
    <row r="25" spans="1:29" x14ac:dyDescent="0.3">
      <c r="A25" s="68">
        <v>38533</v>
      </c>
      <c r="B25" s="69"/>
      <c r="C25" s="69"/>
      <c r="D25" s="69"/>
      <c r="E25" s="69"/>
      <c r="F25" s="70">
        <f t="shared" si="3"/>
        <v>0</v>
      </c>
      <c r="G25" s="71">
        <f t="shared" si="4"/>
        <v>0</v>
      </c>
      <c r="H25" s="71">
        <f t="shared" si="0"/>
        <v>0</v>
      </c>
      <c r="I25" s="69"/>
      <c r="J25" s="71">
        <f t="shared" si="1"/>
        <v>0</v>
      </c>
      <c r="K25" s="71">
        <f t="shared" si="2"/>
        <v>0</v>
      </c>
      <c r="L25" s="69"/>
      <c r="M25" s="69"/>
      <c r="N25" s="71">
        <f t="shared" si="5"/>
        <v>0</v>
      </c>
      <c r="O25" s="69"/>
      <c r="P25" s="70">
        <f t="shared" si="6"/>
        <v>0</v>
      </c>
      <c r="Q25" s="41">
        <f t="shared" si="16"/>
        <v>45809</v>
      </c>
      <c r="R25" s="41">
        <f>Q25+29</f>
        <v>45838</v>
      </c>
      <c r="S25" s="41">
        <f t="shared" si="7"/>
        <v>45809</v>
      </c>
      <c r="T25" s="41">
        <f t="shared" si="8"/>
        <v>45838</v>
      </c>
      <c r="U25" s="73">
        <f t="shared" si="17"/>
        <v>30</v>
      </c>
      <c r="V25" s="73">
        <f t="shared" si="13"/>
        <v>180</v>
      </c>
      <c r="W25" s="67">
        <f t="shared" si="18"/>
        <v>0</v>
      </c>
      <c r="X25" s="67">
        <f t="shared" si="14"/>
        <v>0</v>
      </c>
      <c r="Y25" s="67">
        <f t="shared" si="9"/>
        <v>0</v>
      </c>
      <c r="Z25" s="67">
        <f t="shared" si="15"/>
        <v>0</v>
      </c>
      <c r="AA25" s="67">
        <f t="shared" si="10"/>
        <v>0</v>
      </c>
      <c r="AB25" s="67">
        <f t="shared" si="11"/>
        <v>74100</v>
      </c>
      <c r="AC25" s="67">
        <f t="shared" si="12"/>
        <v>49925899.500000007</v>
      </c>
    </row>
    <row r="26" spans="1:29" x14ac:dyDescent="0.3">
      <c r="A26" s="68">
        <v>38564</v>
      </c>
      <c r="B26" s="69"/>
      <c r="C26" s="69"/>
      <c r="D26" s="69"/>
      <c r="E26" s="69"/>
      <c r="F26" s="70">
        <f t="shared" si="3"/>
        <v>0</v>
      </c>
      <c r="G26" s="71">
        <f t="shared" si="4"/>
        <v>0</v>
      </c>
      <c r="H26" s="71">
        <f t="shared" si="0"/>
        <v>0</v>
      </c>
      <c r="I26" s="69"/>
      <c r="J26" s="71">
        <f t="shared" si="1"/>
        <v>0</v>
      </c>
      <c r="K26" s="71">
        <f t="shared" si="2"/>
        <v>0</v>
      </c>
      <c r="L26" s="69"/>
      <c r="M26" s="69"/>
      <c r="N26" s="71">
        <f t="shared" si="5"/>
        <v>0</v>
      </c>
      <c r="O26" s="69"/>
      <c r="P26" s="70">
        <f t="shared" si="6"/>
        <v>0</v>
      </c>
      <c r="Q26" s="41">
        <f t="shared" si="16"/>
        <v>45839</v>
      </c>
      <c r="R26" s="41">
        <f>Q26+30</f>
        <v>45869</v>
      </c>
      <c r="S26" s="41">
        <f t="shared" si="7"/>
        <v>45839</v>
      </c>
      <c r="T26" s="41">
        <f t="shared" si="8"/>
        <v>45869</v>
      </c>
      <c r="U26" s="73">
        <f t="shared" si="17"/>
        <v>30</v>
      </c>
      <c r="V26" s="73">
        <f t="shared" si="13"/>
        <v>210</v>
      </c>
      <c r="W26" s="67">
        <f t="shared" si="18"/>
        <v>0</v>
      </c>
      <c r="X26" s="67">
        <f t="shared" si="14"/>
        <v>0</v>
      </c>
      <c r="Y26" s="67">
        <f t="shared" si="9"/>
        <v>0</v>
      </c>
      <c r="Z26" s="67">
        <f t="shared" si="15"/>
        <v>0</v>
      </c>
      <c r="AA26" s="67">
        <f t="shared" si="10"/>
        <v>0</v>
      </c>
      <c r="AB26" s="67">
        <f t="shared" si="11"/>
        <v>86450</v>
      </c>
      <c r="AC26" s="67">
        <f t="shared" si="12"/>
        <v>58246882.750000007</v>
      </c>
    </row>
    <row r="27" spans="1:29" x14ac:dyDescent="0.3">
      <c r="A27" s="68">
        <v>38595</v>
      </c>
      <c r="B27" s="69"/>
      <c r="C27" s="69"/>
      <c r="D27" s="69"/>
      <c r="E27" s="69"/>
      <c r="F27" s="70">
        <f t="shared" si="3"/>
        <v>0</v>
      </c>
      <c r="G27" s="71">
        <f t="shared" si="4"/>
        <v>0</v>
      </c>
      <c r="H27" s="71">
        <f t="shared" si="0"/>
        <v>0</v>
      </c>
      <c r="I27" s="69"/>
      <c r="J27" s="71">
        <f t="shared" si="1"/>
        <v>0</v>
      </c>
      <c r="K27" s="71">
        <f t="shared" si="2"/>
        <v>0</v>
      </c>
      <c r="L27" s="69"/>
      <c r="M27" s="69"/>
      <c r="N27" s="71">
        <f t="shared" si="5"/>
        <v>0</v>
      </c>
      <c r="O27" s="69"/>
      <c r="P27" s="70">
        <f t="shared" si="6"/>
        <v>0</v>
      </c>
      <c r="Q27" s="41">
        <f t="shared" si="16"/>
        <v>45870</v>
      </c>
      <c r="R27" s="41">
        <f>Q27+30</f>
        <v>45900</v>
      </c>
      <c r="S27" s="41">
        <f t="shared" si="7"/>
        <v>45870</v>
      </c>
      <c r="T27" s="41">
        <f t="shared" si="8"/>
        <v>45900</v>
      </c>
      <c r="U27" s="73">
        <f t="shared" si="17"/>
        <v>30</v>
      </c>
      <c r="V27" s="73">
        <f t="shared" si="13"/>
        <v>240</v>
      </c>
      <c r="W27" s="67">
        <f t="shared" si="18"/>
        <v>0</v>
      </c>
      <c r="X27" s="67">
        <f t="shared" si="14"/>
        <v>0</v>
      </c>
      <c r="Y27" s="67">
        <f t="shared" si="9"/>
        <v>0</v>
      </c>
      <c r="Z27" s="67">
        <f t="shared" si="15"/>
        <v>0</v>
      </c>
      <c r="AA27" s="67">
        <f t="shared" si="10"/>
        <v>0</v>
      </c>
      <c r="AB27" s="67">
        <f t="shared" si="11"/>
        <v>98800</v>
      </c>
      <c r="AC27" s="67">
        <f t="shared" si="12"/>
        <v>66567866.000000007</v>
      </c>
    </row>
    <row r="28" spans="1:29" x14ac:dyDescent="0.3">
      <c r="A28" s="68">
        <v>38625</v>
      </c>
      <c r="B28" s="69"/>
      <c r="C28" s="69"/>
      <c r="D28" s="69"/>
      <c r="E28" s="69"/>
      <c r="F28" s="70">
        <f t="shared" si="3"/>
        <v>0</v>
      </c>
      <c r="G28" s="71">
        <f t="shared" si="4"/>
        <v>0</v>
      </c>
      <c r="H28" s="71">
        <f t="shared" si="0"/>
        <v>0</v>
      </c>
      <c r="I28" s="69"/>
      <c r="J28" s="71">
        <f t="shared" si="1"/>
        <v>0</v>
      </c>
      <c r="K28" s="71">
        <f t="shared" si="2"/>
        <v>0</v>
      </c>
      <c r="L28" s="69"/>
      <c r="M28" s="69"/>
      <c r="N28" s="71">
        <f t="shared" si="5"/>
        <v>0</v>
      </c>
      <c r="O28" s="69"/>
      <c r="P28" s="70">
        <f t="shared" si="6"/>
        <v>0</v>
      </c>
      <c r="Q28" s="41">
        <f t="shared" si="16"/>
        <v>45901</v>
      </c>
      <c r="R28" s="41">
        <f>Q28+29</f>
        <v>45930</v>
      </c>
      <c r="S28" s="41">
        <f t="shared" si="7"/>
        <v>45901</v>
      </c>
      <c r="T28" s="41">
        <f t="shared" si="8"/>
        <v>45930</v>
      </c>
      <c r="U28" s="73">
        <f t="shared" si="17"/>
        <v>30</v>
      </c>
      <c r="V28" s="73">
        <f t="shared" si="13"/>
        <v>270</v>
      </c>
      <c r="W28" s="67">
        <f t="shared" si="18"/>
        <v>0</v>
      </c>
      <c r="X28" s="67">
        <f t="shared" si="14"/>
        <v>0</v>
      </c>
      <c r="Y28" s="67">
        <f t="shared" si="9"/>
        <v>0</v>
      </c>
      <c r="Z28" s="67">
        <f t="shared" si="15"/>
        <v>0</v>
      </c>
      <c r="AA28" s="67">
        <f t="shared" si="10"/>
        <v>0</v>
      </c>
      <c r="AB28" s="67">
        <f t="shared" si="11"/>
        <v>111150</v>
      </c>
      <c r="AC28" s="67">
        <f t="shared" si="12"/>
        <v>74888849.25</v>
      </c>
    </row>
    <row r="29" spans="1:29" x14ac:dyDescent="0.3">
      <c r="A29" s="68">
        <v>38656</v>
      </c>
      <c r="B29" s="69"/>
      <c r="C29" s="69"/>
      <c r="D29" s="69"/>
      <c r="E29" s="69"/>
      <c r="F29" s="70">
        <f t="shared" si="3"/>
        <v>0</v>
      </c>
      <c r="G29" s="71">
        <f t="shared" si="4"/>
        <v>0</v>
      </c>
      <c r="H29" s="71">
        <f t="shared" si="0"/>
        <v>0</v>
      </c>
      <c r="I29" s="69"/>
      <c r="J29" s="71">
        <f t="shared" si="1"/>
        <v>0</v>
      </c>
      <c r="K29" s="71">
        <f t="shared" si="2"/>
        <v>0</v>
      </c>
      <c r="L29" s="69"/>
      <c r="M29" s="69"/>
      <c r="N29" s="71">
        <f t="shared" si="5"/>
        <v>0</v>
      </c>
      <c r="O29" s="69"/>
      <c r="P29" s="70">
        <f t="shared" si="6"/>
        <v>0</v>
      </c>
      <c r="Q29" s="41">
        <f t="shared" si="16"/>
        <v>45931</v>
      </c>
      <c r="R29" s="41">
        <f>Q29+30</f>
        <v>45961</v>
      </c>
      <c r="S29" s="41">
        <f t="shared" si="7"/>
        <v>45931</v>
      </c>
      <c r="T29" s="41">
        <f t="shared" si="8"/>
        <v>45961</v>
      </c>
      <c r="U29" s="73">
        <f t="shared" si="17"/>
        <v>30</v>
      </c>
      <c r="V29" s="73">
        <f t="shared" si="13"/>
        <v>300</v>
      </c>
      <c r="W29" s="67">
        <f t="shared" si="18"/>
        <v>0</v>
      </c>
      <c r="X29" s="67">
        <f t="shared" si="14"/>
        <v>0</v>
      </c>
      <c r="Y29" s="67">
        <f t="shared" si="9"/>
        <v>0</v>
      </c>
      <c r="Z29" s="67">
        <f t="shared" si="15"/>
        <v>0</v>
      </c>
      <c r="AA29" s="67">
        <f t="shared" si="10"/>
        <v>0</v>
      </c>
      <c r="AB29" s="67">
        <f t="shared" si="11"/>
        <v>123500</v>
      </c>
      <c r="AC29" s="67">
        <f t="shared" si="12"/>
        <v>83209832.5</v>
      </c>
    </row>
    <row r="30" spans="1:29" x14ac:dyDescent="0.3">
      <c r="A30" s="68">
        <v>38686</v>
      </c>
      <c r="B30" s="69"/>
      <c r="C30" s="69"/>
      <c r="D30" s="69"/>
      <c r="E30" s="69"/>
      <c r="F30" s="70">
        <f t="shared" si="3"/>
        <v>0</v>
      </c>
      <c r="G30" s="71">
        <f t="shared" si="4"/>
        <v>0</v>
      </c>
      <c r="H30" s="71">
        <f t="shared" si="0"/>
        <v>0</v>
      </c>
      <c r="I30" s="69"/>
      <c r="J30" s="71">
        <f t="shared" si="1"/>
        <v>0</v>
      </c>
      <c r="K30" s="71">
        <f t="shared" si="2"/>
        <v>0</v>
      </c>
      <c r="L30" s="69"/>
      <c r="M30" s="69"/>
      <c r="N30" s="71">
        <f t="shared" si="5"/>
        <v>0</v>
      </c>
      <c r="O30" s="69"/>
      <c r="P30" s="70">
        <f t="shared" si="6"/>
        <v>0</v>
      </c>
      <c r="Q30" s="41">
        <f t="shared" si="16"/>
        <v>45962</v>
      </c>
      <c r="R30" s="41">
        <f>Q30+29</f>
        <v>45991</v>
      </c>
      <c r="S30" s="41">
        <f t="shared" si="7"/>
        <v>45962</v>
      </c>
      <c r="T30" s="41">
        <f t="shared" si="8"/>
        <v>45991</v>
      </c>
      <c r="U30" s="73">
        <f t="shared" si="17"/>
        <v>30</v>
      </c>
      <c r="V30" s="73">
        <f t="shared" si="13"/>
        <v>330</v>
      </c>
      <c r="W30" s="67">
        <f t="shared" si="18"/>
        <v>0</v>
      </c>
      <c r="X30" s="67">
        <f t="shared" si="14"/>
        <v>0</v>
      </c>
      <c r="Y30" s="67">
        <f t="shared" si="9"/>
        <v>0</v>
      </c>
      <c r="Z30" s="67">
        <f t="shared" si="15"/>
        <v>0</v>
      </c>
      <c r="AA30" s="67">
        <f t="shared" si="10"/>
        <v>0</v>
      </c>
      <c r="AB30" s="67">
        <f t="shared" si="11"/>
        <v>135850</v>
      </c>
      <c r="AC30" s="67">
        <f t="shared" si="12"/>
        <v>91530815.750000015</v>
      </c>
    </row>
    <row r="31" spans="1:29" x14ac:dyDescent="0.3">
      <c r="A31" s="68">
        <v>38717</v>
      </c>
      <c r="B31" s="69"/>
      <c r="C31" s="69"/>
      <c r="D31" s="69"/>
      <c r="E31" s="69"/>
      <c r="F31" s="70">
        <f t="shared" si="3"/>
        <v>0</v>
      </c>
      <c r="G31" s="71">
        <f t="shared" si="4"/>
        <v>0</v>
      </c>
      <c r="H31" s="71">
        <f t="shared" si="0"/>
        <v>0</v>
      </c>
      <c r="I31" s="69"/>
      <c r="J31" s="71">
        <f t="shared" si="1"/>
        <v>0</v>
      </c>
      <c r="K31" s="71">
        <f t="shared" si="2"/>
        <v>0</v>
      </c>
      <c r="L31" s="69"/>
      <c r="M31" s="69"/>
      <c r="N31" s="71">
        <f t="shared" si="5"/>
        <v>0</v>
      </c>
      <c r="O31" s="69"/>
      <c r="P31" s="70">
        <f t="shared" si="6"/>
        <v>0</v>
      </c>
      <c r="Q31" s="41">
        <f t="shared" si="16"/>
        <v>45992</v>
      </c>
      <c r="R31" s="41">
        <f>Q31+30</f>
        <v>46022</v>
      </c>
      <c r="S31" s="41">
        <f t="shared" si="7"/>
        <v>45992</v>
      </c>
      <c r="T31" s="41">
        <f t="shared" si="8"/>
        <v>46022</v>
      </c>
      <c r="U31" s="73">
        <f t="shared" si="17"/>
        <v>30</v>
      </c>
      <c r="V31" s="73">
        <f t="shared" si="13"/>
        <v>360</v>
      </c>
      <c r="W31" s="67">
        <f t="shared" si="18"/>
        <v>0</v>
      </c>
      <c r="X31" s="67">
        <f t="shared" si="14"/>
        <v>0</v>
      </c>
      <c r="Y31" s="67">
        <f t="shared" si="9"/>
        <v>0</v>
      </c>
      <c r="Z31" s="67">
        <f t="shared" si="15"/>
        <v>0</v>
      </c>
      <c r="AA31" s="67">
        <f t="shared" si="10"/>
        <v>0</v>
      </c>
      <c r="AB31" s="67">
        <f t="shared" si="11"/>
        <v>148200</v>
      </c>
      <c r="AC31" s="67">
        <f t="shared" si="12"/>
        <v>99851799.000000015</v>
      </c>
    </row>
    <row r="32" spans="1:29" x14ac:dyDescent="0.3">
      <c r="A32" s="74" t="s">
        <v>20</v>
      </c>
      <c r="B32" s="69"/>
      <c r="C32" s="69"/>
      <c r="D32" s="69"/>
      <c r="E32" s="69"/>
      <c r="F32" s="70">
        <f t="shared" si="3"/>
        <v>0</v>
      </c>
      <c r="G32" s="71">
        <f t="shared" si="4"/>
        <v>0</v>
      </c>
      <c r="H32" s="71">
        <f t="shared" si="0"/>
        <v>0</v>
      </c>
      <c r="I32" s="69"/>
      <c r="J32" s="71">
        <f t="shared" si="1"/>
        <v>0</v>
      </c>
      <c r="K32" s="71">
        <f t="shared" si="2"/>
        <v>0</v>
      </c>
      <c r="L32" s="69"/>
      <c r="M32" s="69"/>
      <c r="N32" s="71">
        <f t="shared" si="5"/>
        <v>0</v>
      </c>
      <c r="O32" s="69"/>
      <c r="P32" s="70">
        <f t="shared" si="6"/>
        <v>0</v>
      </c>
      <c r="Q32" s="41"/>
      <c r="R32" s="41"/>
      <c r="U32" s="73">
        <f>IF(S32=0,0,DAYS360(S32,T32,1)+1)</f>
        <v>0</v>
      </c>
      <c r="V32" s="73">
        <f>V31+U32</f>
        <v>360</v>
      </c>
      <c r="W32" s="67">
        <f t="shared" si="18"/>
        <v>0</v>
      </c>
      <c r="X32" s="67">
        <f t="shared" si="14"/>
        <v>0</v>
      </c>
      <c r="Y32" s="67">
        <f t="shared" si="9"/>
        <v>0</v>
      </c>
      <c r="Z32" s="67">
        <f t="shared" si="15"/>
        <v>0</v>
      </c>
      <c r="AA32" s="67">
        <f t="shared" si="10"/>
        <v>0</v>
      </c>
      <c r="AB32" s="67">
        <f>ALVMAX/360*V32</f>
        <v>148200</v>
      </c>
      <c r="AC32" s="67">
        <f t="shared" si="12"/>
        <v>99851799.000000015</v>
      </c>
    </row>
    <row r="33" spans="1:29" x14ac:dyDescent="0.3">
      <c r="A33" s="75" t="s">
        <v>21</v>
      </c>
      <c r="B33" s="69"/>
      <c r="C33" s="69"/>
      <c r="D33" s="69"/>
      <c r="E33" s="69"/>
      <c r="F33" s="70">
        <f t="shared" si="3"/>
        <v>0</v>
      </c>
      <c r="G33" s="71">
        <f t="shared" si="4"/>
        <v>0</v>
      </c>
      <c r="H33" s="71">
        <f t="shared" si="0"/>
        <v>0</v>
      </c>
      <c r="I33" s="69"/>
      <c r="J33" s="71">
        <f t="shared" si="1"/>
        <v>0</v>
      </c>
      <c r="K33" s="71">
        <f t="shared" si="2"/>
        <v>0</v>
      </c>
      <c r="L33" s="69"/>
      <c r="M33" s="69"/>
      <c r="N33" s="71">
        <f t="shared" si="5"/>
        <v>0</v>
      </c>
      <c r="O33" s="69"/>
      <c r="P33" s="70">
        <f t="shared" si="6"/>
        <v>0</v>
      </c>
      <c r="Q33" s="41"/>
      <c r="R33" s="41"/>
      <c r="U33" s="73">
        <f>IF(S33=0,0,DAYS360(S33,T33,1)+1)</f>
        <v>0</v>
      </c>
      <c r="V33" s="73">
        <f>V32+U33</f>
        <v>360</v>
      </c>
      <c r="W33" s="67">
        <f t="shared" si="18"/>
        <v>0</v>
      </c>
      <c r="X33" s="67">
        <f t="shared" si="14"/>
        <v>0</v>
      </c>
      <c r="Y33" s="67">
        <f t="shared" si="9"/>
        <v>0</v>
      </c>
      <c r="Z33" s="67">
        <f t="shared" si="15"/>
        <v>0</v>
      </c>
      <c r="AA33" s="67">
        <f t="shared" si="10"/>
        <v>0</v>
      </c>
      <c r="AB33" s="67">
        <f>ALVMAX/360*V33</f>
        <v>148200</v>
      </c>
      <c r="AC33" s="67">
        <f t="shared" si="12"/>
        <v>99851799.000000015</v>
      </c>
    </row>
    <row r="34" spans="1:29" s="16" customFormat="1" x14ac:dyDescent="0.3">
      <c r="A34" s="63"/>
      <c r="B34" s="63"/>
      <c r="C34" s="63"/>
      <c r="D34" s="63"/>
      <c r="E34" s="63"/>
      <c r="F34" s="63"/>
      <c r="G34" s="66"/>
      <c r="H34" s="66"/>
      <c r="I34" s="63"/>
      <c r="J34" s="66"/>
      <c r="K34" s="66"/>
      <c r="L34" s="66"/>
      <c r="M34" s="66"/>
      <c r="N34" s="63"/>
      <c r="O34" s="63"/>
      <c r="P34" s="63"/>
      <c r="U34" s="76"/>
      <c r="V34" s="76"/>
      <c r="W34" s="76"/>
      <c r="X34" s="76"/>
      <c r="Y34" s="76"/>
      <c r="Z34" s="67"/>
    </row>
    <row r="35" spans="1:29" s="26" customFormat="1" ht="17.25" thickBot="1" x14ac:dyDescent="0.35">
      <c r="A35" s="77" t="s">
        <v>0</v>
      </c>
      <c r="B35" s="78">
        <f>SUM(B20:B33)</f>
        <v>0</v>
      </c>
      <c r="C35" s="78">
        <f t="shared" ref="C35:P35" si="19">SUM(C20:C33)</f>
        <v>0</v>
      </c>
      <c r="D35" s="78">
        <f t="shared" si="19"/>
        <v>0</v>
      </c>
      <c r="E35" s="78">
        <f t="shared" si="19"/>
        <v>0</v>
      </c>
      <c r="F35" s="78">
        <f t="shared" si="19"/>
        <v>0</v>
      </c>
      <c r="G35" s="78">
        <f t="shared" si="19"/>
        <v>0</v>
      </c>
      <c r="H35" s="78">
        <f t="shared" si="19"/>
        <v>0</v>
      </c>
      <c r="I35" s="78">
        <f t="shared" si="19"/>
        <v>0</v>
      </c>
      <c r="J35" s="78">
        <f t="shared" si="19"/>
        <v>0</v>
      </c>
      <c r="K35" s="78">
        <f t="shared" si="19"/>
        <v>0</v>
      </c>
      <c r="L35" s="78">
        <f t="shared" si="19"/>
        <v>0</v>
      </c>
      <c r="M35" s="78">
        <f t="shared" si="19"/>
        <v>0</v>
      </c>
      <c r="N35" s="78">
        <f t="shared" si="19"/>
        <v>0</v>
      </c>
      <c r="O35" s="78">
        <f t="shared" si="19"/>
        <v>0</v>
      </c>
      <c r="P35" s="78">
        <f t="shared" si="19"/>
        <v>0</v>
      </c>
      <c r="Q35" s="79"/>
      <c r="U35" s="80">
        <f>SUM(U20:U34)</f>
        <v>360</v>
      </c>
      <c r="V35" s="80"/>
      <c r="W35" s="67">
        <f>SUM(W20:W31)</f>
        <v>0</v>
      </c>
      <c r="X35" s="67">
        <f>SUM(X20:X31)</f>
        <v>0</v>
      </c>
      <c r="Y35" s="80"/>
      <c r="Z35" s="80"/>
    </row>
    <row r="36" spans="1:29" s="81" customFormat="1" ht="15.75" customHeight="1" thickTop="1" x14ac:dyDescent="0.15">
      <c r="B36" s="82"/>
      <c r="C36" s="82"/>
      <c r="D36" s="82"/>
      <c r="E36" s="82"/>
      <c r="F36" s="98" t="str">
        <f>IF(H36="","","Total AHV+ALV:")</f>
        <v/>
      </c>
      <c r="G36" s="98"/>
      <c r="H36" s="139" t="str">
        <f>IF(G35=0,"",G35+H35)</f>
        <v/>
      </c>
      <c r="I36" s="98" t="str">
        <f>IF(H36="","","Total AHV+ALV+NBU:")</f>
        <v/>
      </c>
      <c r="J36" s="98"/>
      <c r="K36" s="98"/>
      <c r="L36" s="139" t="str">
        <f>IF(G35=0,"",H36+J35)</f>
        <v/>
      </c>
      <c r="M36" s="82"/>
      <c r="N36" s="82"/>
      <c r="O36" s="82"/>
      <c r="P36" s="82"/>
      <c r="Q36" s="82"/>
      <c r="R36" s="82"/>
      <c r="V36" s="83"/>
      <c r="W36" s="83"/>
      <c r="X36" s="83"/>
      <c r="Y36" s="83"/>
      <c r="Z36" s="83"/>
      <c r="AA36" s="83"/>
    </row>
    <row r="37" spans="1:29" x14ac:dyDescent="0.3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29" x14ac:dyDescent="0.3">
      <c r="A38" s="26" t="s">
        <v>35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1:29" x14ac:dyDescent="0.3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28"/>
      <c r="R39" s="27"/>
      <c r="S39" s="41">
        <f>R31+1</f>
        <v>46023</v>
      </c>
    </row>
    <row r="40" spans="1:29" x14ac:dyDescent="0.3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28"/>
      <c r="R40" s="27"/>
    </row>
    <row r="41" spans="1:29" x14ac:dyDescent="0.3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28"/>
      <c r="R41" s="27"/>
    </row>
    <row r="42" spans="1:29" x14ac:dyDescent="0.3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28"/>
      <c r="R42" s="27"/>
    </row>
    <row r="43" spans="1:29" x14ac:dyDescent="0.3">
      <c r="A43" s="113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88"/>
      <c r="R43" s="27"/>
    </row>
    <row r="44" spans="1:29" x14ac:dyDescent="0.3">
      <c r="A44" s="113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28"/>
    </row>
    <row r="45" spans="1:29" x14ac:dyDescent="0.3">
      <c r="A45" s="113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28"/>
    </row>
    <row r="46" spans="1:29" x14ac:dyDescent="0.3">
      <c r="A46" s="113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28"/>
    </row>
    <row r="47" spans="1:29" x14ac:dyDescent="0.3">
      <c r="A47" s="113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28"/>
    </row>
    <row r="48" spans="1:29" x14ac:dyDescent="0.3">
      <c r="Q48" s="28"/>
    </row>
    <row r="50" spans="1:18" x14ac:dyDescent="0.3">
      <c r="A50" s="26"/>
      <c r="Q50" s="30"/>
    </row>
    <row r="51" spans="1:18" x14ac:dyDescent="0.3">
      <c r="A51" s="29"/>
      <c r="H51" s="84"/>
      <c r="Q51" s="30"/>
    </row>
    <row r="52" spans="1:18" x14ac:dyDescent="0.3">
      <c r="A52" s="31"/>
      <c r="Q52" s="85"/>
    </row>
    <row r="54" spans="1:18" x14ac:dyDescent="0.3">
      <c r="A54" s="26" t="s">
        <v>36</v>
      </c>
      <c r="Q54" s="27"/>
    </row>
    <row r="55" spans="1:18" x14ac:dyDescent="0.3">
      <c r="A55" s="113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28"/>
    </row>
    <row r="56" spans="1:18" s="1" customFormat="1" x14ac:dyDescent="0.3">
      <c r="A56" s="113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28"/>
    </row>
    <row r="57" spans="1:18" s="1" customFormat="1" x14ac:dyDescent="0.3">
      <c r="A57" s="113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28"/>
    </row>
    <row r="58" spans="1:18" x14ac:dyDescent="0.3">
      <c r="A58" s="113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28"/>
      <c r="R58" s="28"/>
    </row>
    <row r="59" spans="1:18" s="1" customFormat="1" x14ac:dyDescent="0.3">
      <c r="A59" s="113"/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28"/>
      <c r="R59" s="28"/>
    </row>
    <row r="60" spans="1:18" s="1" customFormat="1" x14ac:dyDescent="0.3">
      <c r="A60" s="113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28"/>
      <c r="R60" s="28"/>
    </row>
    <row r="61" spans="1:18" x14ac:dyDescent="0.3">
      <c r="A61" s="113"/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28"/>
      <c r="R61" s="28"/>
    </row>
    <row r="62" spans="1:18" s="1" customFormat="1" x14ac:dyDescent="0.3">
      <c r="A62" s="113"/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28"/>
      <c r="R62" s="28"/>
    </row>
    <row r="63" spans="1:18" s="1" customFormat="1" x14ac:dyDescent="0.3">
      <c r="A63" s="113"/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28"/>
      <c r="R63" s="28"/>
    </row>
    <row r="64" spans="1:18" x14ac:dyDescent="0.3">
      <c r="A64" s="113"/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28"/>
      <c r="R64" s="28"/>
    </row>
    <row r="65" spans="1:18" s="1" customFormat="1" x14ac:dyDescent="0.3">
      <c r="A65" s="113"/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28"/>
      <c r="R65" s="28"/>
    </row>
    <row r="66" spans="1:18" s="1" customFormat="1" x14ac:dyDescent="0.3">
      <c r="A66" s="113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28"/>
      <c r="R66" s="28"/>
    </row>
    <row r="67" spans="1:18" s="1" customFormat="1" x14ac:dyDescent="0.3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</row>
    <row r="68" spans="1:18" s="1" customFormat="1" x14ac:dyDescent="0.3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x14ac:dyDescent="0.3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</row>
    <row r="70" spans="1:18" x14ac:dyDescent="0.3">
      <c r="R70" s="28"/>
    </row>
  </sheetData>
  <sheetProtection algorithmName="SHA-512" hashValue="q8/S85FgqCadvy0oE7/+IoMoTvDA9jkWI76QjGyEdecv5v2JryEJPm1yZorq8e+ZAsAB2trGLZZ6TQF0sTIVcg==" saltValue="rPmjTIc6xc9blAW2iaVaAQ==" spinCount="100000" sheet="1" objects="1" scenarios="1"/>
  <mergeCells count="52">
    <mergeCell ref="A16:A18"/>
    <mergeCell ref="B16:B18"/>
    <mergeCell ref="K16:K17"/>
    <mergeCell ref="C7:E7"/>
    <mergeCell ref="C10:D10"/>
    <mergeCell ref="C9:D9"/>
    <mergeCell ref="C12:D12"/>
    <mergeCell ref="D15:G15"/>
    <mergeCell ref="C16:C18"/>
    <mergeCell ref="D16:D18"/>
    <mergeCell ref="E16:E18"/>
    <mergeCell ref="H10:L10"/>
    <mergeCell ref="H4:I4"/>
    <mergeCell ref="C5:E5"/>
    <mergeCell ref="H5:I5"/>
    <mergeCell ref="C6:E6"/>
    <mergeCell ref="C4:E4"/>
    <mergeCell ref="S17:T17"/>
    <mergeCell ref="F36:G36"/>
    <mergeCell ref="I36:K36"/>
    <mergeCell ref="L16:L17"/>
    <mergeCell ref="M16:M17"/>
    <mergeCell ref="N16:N18"/>
    <mergeCell ref="O16:O18"/>
    <mergeCell ref="H16:H17"/>
    <mergeCell ref="F16:F18"/>
    <mergeCell ref="Q17:R17"/>
    <mergeCell ref="J16:J17"/>
    <mergeCell ref="I16:I18"/>
    <mergeCell ref="P16:P18"/>
    <mergeCell ref="G16:G17"/>
    <mergeCell ref="A39:P39"/>
    <mergeCell ref="A40:P40"/>
    <mergeCell ref="A41:P41"/>
    <mergeCell ref="A42:P42"/>
    <mergeCell ref="A43:P43"/>
    <mergeCell ref="A44:P44"/>
    <mergeCell ref="A45:P45"/>
    <mergeCell ref="A46:P46"/>
    <mergeCell ref="A47:P47"/>
    <mergeCell ref="A55:P55"/>
    <mergeCell ref="A56:P56"/>
    <mergeCell ref="A57:P57"/>
    <mergeCell ref="A58:P58"/>
    <mergeCell ref="A59:P59"/>
    <mergeCell ref="A60:P60"/>
    <mergeCell ref="A66:P66"/>
    <mergeCell ref="A61:P61"/>
    <mergeCell ref="A62:P62"/>
    <mergeCell ref="A63:P63"/>
    <mergeCell ref="A64:P64"/>
    <mergeCell ref="A65:P65"/>
  </mergeCells>
  <phoneticPr fontId="0" type="noConversion"/>
  <dataValidations count="1">
    <dataValidation type="textLength" operator="equal" allowBlank="1" showInputMessage="1" showErrorMessage="1" errorTitle="Bitte korrigieren:" error="m = männlich_x000a_w = weiblich" sqref="I7" xr:uid="{00000000-0002-0000-0700-000000000000}">
      <formula1>1</formula1>
    </dataValidation>
  </dataValidations>
  <printOptions horizontalCentered="1"/>
  <pageMargins left="1.0629921259842521" right="0.78740157480314965" top="0.59055118110236227" bottom="0.59055118110236227" header="0.51181102362204722" footer="0.31496062992125984"/>
  <pageSetup paperSize="9" scale="63" orientation="landscape" r:id="rId1"/>
  <headerFooter>
    <oddFooter>&amp;L&amp;G&amp;C&amp;"Segoe UI Semilight,Standard"&amp;K1D71B8Bern | Biel/Bienne&amp;R&amp;"Segoe UI Semilight,Standard"&amp;K1D71B8strasser-ag.ch</oddFooter>
  </headerFooter>
  <legacy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:AD70"/>
  <sheetViews>
    <sheetView showGridLines="0" topLeftCell="A3" zoomScale="90" zoomScaleNormal="90" workbookViewId="0">
      <selection activeCell="B20" sqref="B20"/>
    </sheetView>
  </sheetViews>
  <sheetFormatPr baseColWidth="10" defaultColWidth="11.28515625" defaultRowHeight="16.5" x14ac:dyDescent="0.3"/>
  <cols>
    <col min="1" max="1" width="16" style="25" customWidth="1"/>
    <col min="2" max="15" width="12.140625" style="25" customWidth="1"/>
    <col min="16" max="16" width="11.85546875" style="25" bestFit="1" customWidth="1"/>
    <col min="17" max="17" width="10.7109375" style="25" hidden="1" customWidth="1"/>
    <col min="18" max="18" width="11" style="25" hidden="1" customWidth="1"/>
    <col min="19" max="19" width="10.7109375" style="25" hidden="1" customWidth="1"/>
    <col min="20" max="20" width="11" style="25" hidden="1" customWidth="1"/>
    <col min="21" max="21" width="14.85546875" style="25" hidden="1" customWidth="1"/>
    <col min="22" max="22" width="14.28515625" style="25" hidden="1" customWidth="1"/>
    <col min="23" max="23" width="7.85546875" style="25" hidden="1" customWidth="1"/>
    <col min="24" max="24" width="9.85546875" style="25" hidden="1" customWidth="1"/>
    <col min="25" max="25" width="12.7109375" style="25" hidden="1" customWidth="1"/>
    <col min="26" max="26" width="14" style="25" hidden="1" customWidth="1"/>
    <col min="27" max="27" width="17.5703125" style="25" hidden="1" customWidth="1"/>
    <col min="28" max="28" width="11.5703125" style="25" hidden="1" customWidth="1"/>
    <col min="29" max="30" width="14.28515625" style="25" hidden="1" customWidth="1"/>
    <col min="31" max="31" width="11.28515625" style="25" customWidth="1"/>
    <col min="32" max="16384" width="11.28515625" style="25"/>
  </cols>
  <sheetData>
    <row r="1" spans="1:18" s="34" customFormat="1" ht="20.25" x14ac:dyDescent="0.35">
      <c r="A1" s="32" t="s">
        <v>42</v>
      </c>
      <c r="B1" s="33">
        <f>Jahr</f>
        <v>2025</v>
      </c>
      <c r="P1" s="35">
        <f>Firma</f>
        <v>0</v>
      </c>
    </row>
    <row r="2" spans="1:18" s="34" customFormat="1" ht="20.25" x14ac:dyDescent="0.35">
      <c r="E2" s="36"/>
      <c r="P2" s="35">
        <f>Ort</f>
        <v>0</v>
      </c>
    </row>
    <row r="3" spans="1:18" s="34" customFormat="1" x14ac:dyDescent="0.3">
      <c r="Q3" s="37"/>
    </row>
    <row r="4" spans="1:18" s="34" customFormat="1" x14ac:dyDescent="0.3">
      <c r="A4" s="38" t="s">
        <v>2</v>
      </c>
      <c r="C4" s="134"/>
      <c r="D4" s="134"/>
      <c r="E4" s="134"/>
      <c r="G4" s="39" t="s">
        <v>3</v>
      </c>
      <c r="H4" s="132"/>
      <c r="I4" s="132"/>
      <c r="J4" s="40" t="str">
        <f>IF(H4&gt;R31,"Achtung, ungültiges Datum"," ")</f>
        <v xml:space="preserve"> </v>
      </c>
      <c r="R4" s="41">
        <f>IF(H4&gt;Q20,H4,Q20)</f>
        <v>45658</v>
      </c>
    </row>
    <row r="5" spans="1:18" s="34" customFormat="1" x14ac:dyDescent="0.3">
      <c r="A5" s="38" t="s">
        <v>4</v>
      </c>
      <c r="C5" s="133"/>
      <c r="D5" s="133"/>
      <c r="E5" s="133"/>
      <c r="G5" s="39" t="s">
        <v>5</v>
      </c>
      <c r="H5" s="132"/>
      <c r="I5" s="132"/>
      <c r="J5" s="40" t="str">
        <f>IF(H5=0," ",IF(H5&lt;Q20,"Achtung, ungültiges Datum"," "))</f>
        <v xml:space="preserve"> </v>
      </c>
      <c r="R5" s="41">
        <f>IF(H5=0,R31,IF(H5&gt;R31,R31,H5))</f>
        <v>46022</v>
      </c>
    </row>
    <row r="6" spans="1:18" s="34" customFormat="1" ht="17.649999999999999" customHeight="1" x14ac:dyDescent="0.3">
      <c r="A6" s="38" t="s">
        <v>6</v>
      </c>
      <c r="C6" s="133"/>
      <c r="D6" s="133"/>
      <c r="E6" s="133"/>
      <c r="H6" s="42" t="str">
        <f>IF(H5&lt;H4,IF(H5="","","Achtung: Fehler Eintritt / Austritt"),"")</f>
        <v/>
      </c>
      <c r="I6" s="43"/>
    </row>
    <row r="7" spans="1:18" s="34" customFormat="1" ht="17.649999999999999" customHeight="1" x14ac:dyDescent="0.3">
      <c r="A7" s="38" t="s">
        <v>33</v>
      </c>
      <c r="C7" s="133"/>
      <c r="D7" s="133"/>
      <c r="E7" s="133"/>
      <c r="G7" s="39" t="s">
        <v>7</v>
      </c>
      <c r="I7" s="44"/>
      <c r="J7" s="45" t="str">
        <f>IF(E13=1,IF(I7="M","Achtung: Mitarbeiter wird pensioniert per:",IF(E13=1,"Achtung: Mitarbeiterin wird pensioniert per:","")),"")</f>
        <v/>
      </c>
      <c r="N7" s="46" t="str">
        <f>IF(E13=1,C14," ")</f>
        <v xml:space="preserve"> </v>
      </c>
      <c r="O7" s="46"/>
    </row>
    <row r="8" spans="1:18" s="34" customFormat="1" x14ac:dyDescent="0.3">
      <c r="A8" s="38"/>
      <c r="C8" s="42" t="str">
        <f>IF((B35+C35)&lt;&gt;0,IF(C4="","Achtung: Name, Vorname und Adresse eingeben!",""),"")</f>
        <v/>
      </c>
      <c r="D8" s="37"/>
      <c r="E8" s="37"/>
      <c r="I8" s="42" t="str">
        <f>IF((B35+C35)&lt;&gt;0,IF(I7="","Achtung: 'm' für männlich, 'w' für weiblich eingeben!",""),"")</f>
        <v/>
      </c>
      <c r="K8" s="43"/>
    </row>
    <row r="9" spans="1:18" s="34" customFormat="1" x14ac:dyDescent="0.3">
      <c r="A9" s="38" t="s">
        <v>54</v>
      </c>
      <c r="C9" s="135"/>
      <c r="D9" s="135"/>
      <c r="E9" s="47"/>
      <c r="F9" s="48" t="str">
        <f ca="1">IF(D13&gt;=1,"Referenzalter erreicht ab","")</f>
        <v/>
      </c>
      <c r="G9" s="49" t="str">
        <f ca="1">IF(D13=1,C14, " ")</f>
        <v xml:space="preserve"> </v>
      </c>
      <c r="H9" s="50" t="str">
        <f ca="1">IF(F9&gt;" ","AHV-Freibetrag von Fr. 1'400.-- pro Monat berücksichtigen! Kein ALV-Abzug mehr; Korrektur unter Spalte M oder N","")</f>
        <v/>
      </c>
      <c r="I9" s="1"/>
      <c r="J9" s="1"/>
      <c r="K9" s="1"/>
      <c r="L9" s="1"/>
      <c r="M9" s="1"/>
      <c r="N9" s="1"/>
      <c r="O9" s="1"/>
      <c r="P9" s="1"/>
      <c r="Q9" s="1"/>
    </row>
    <row r="10" spans="1:18" s="34" customFormat="1" x14ac:dyDescent="0.3">
      <c r="A10" s="38" t="s">
        <v>55</v>
      </c>
      <c r="C10" s="135"/>
      <c r="D10" s="135"/>
      <c r="E10" s="37"/>
      <c r="F10" s="45"/>
      <c r="G10" s="51"/>
      <c r="H10" s="137" t="str">
        <f ca="1">IF(H9&gt;" ","Mitarbeitende können neu freiwillig auf den AHV-Freibetrag verzichten","")</f>
        <v/>
      </c>
      <c r="I10" s="137"/>
      <c r="J10" s="137"/>
      <c r="K10" s="137"/>
      <c r="L10" s="137"/>
    </row>
    <row r="11" spans="1:18" s="34" customFormat="1" x14ac:dyDescent="0.3">
      <c r="A11" s="38"/>
      <c r="C11" s="52"/>
      <c r="D11" s="52"/>
      <c r="E11" s="45"/>
      <c r="F11" s="53" t="str">
        <f>IF(F13&lt;18,IF(C13&gt;0,"Achtung:",""),"")</f>
        <v/>
      </c>
      <c r="G11" s="51" t="str">
        <f>IF(F11&gt;" ","Angestellte Person ist unter 18 Jahre!","")</f>
        <v/>
      </c>
      <c r="P11" s="54"/>
    </row>
    <row r="12" spans="1:18" s="34" customFormat="1" x14ac:dyDescent="0.3">
      <c r="A12" s="38" t="s">
        <v>8</v>
      </c>
      <c r="C12" s="136"/>
      <c r="D12" s="136"/>
      <c r="E12" s="45"/>
      <c r="G12" s="51" t="str">
        <f>IF(F11&gt;" ","Lohn unter 'nicht AHV-pflichtig' eintragen und ALV manuell auf 0% stellen!","")</f>
        <v/>
      </c>
    </row>
    <row r="13" spans="1:18" s="34" customFormat="1" hidden="1" x14ac:dyDescent="0.3">
      <c r="A13" s="56" t="s">
        <v>62</v>
      </c>
      <c r="B13" s="57"/>
      <c r="C13" s="58" t="b">
        <f>IF($C$12&gt;0,IF(I7="W",EDATE($C$12,(12*64.33)),IF(I7="M",EDATE($C$12,65*12))))</f>
        <v>0</v>
      </c>
      <c r="D13" s="59">
        <f ca="1">IF(C14&gt;TODAY(),0,1)</f>
        <v>0</v>
      </c>
      <c r="E13" s="60">
        <f>IF(C14-($Q$20-1)&lt;365.25,IF(C14-($Q$20-1)&gt;0,1,0),0)</f>
        <v>0</v>
      </c>
      <c r="F13" s="34">
        <f>(R31-C12)/365.25</f>
        <v>126.00136892539356</v>
      </c>
    </row>
    <row r="14" spans="1:18" s="34" customFormat="1" hidden="1" x14ac:dyDescent="0.3">
      <c r="A14" s="56" t="s">
        <v>63</v>
      </c>
      <c r="B14" s="57"/>
      <c r="C14" s="61">
        <f>IFERROR(IF(I7="W",IF(C12&gt;22281,EOMONTH(C13,1),EOMONTH(C13,-2)),EOMONTH(C13,1)),DATE(2900,1,1))</f>
        <v>365245</v>
      </c>
      <c r="E14" s="60"/>
    </row>
    <row r="15" spans="1:18" s="34" customFormat="1" x14ac:dyDescent="0.3">
      <c r="A15" s="37"/>
      <c r="D15" s="130" t="s">
        <v>41</v>
      </c>
      <c r="E15" s="130"/>
      <c r="F15" s="130"/>
      <c r="G15" s="131"/>
      <c r="H15" s="62"/>
      <c r="I15" s="63"/>
      <c r="J15" s="62"/>
      <c r="K15" s="62"/>
    </row>
    <row r="16" spans="1:18" s="16" customFormat="1" ht="12.75" customHeight="1" x14ac:dyDescent="0.25">
      <c r="A16" s="117" t="s">
        <v>9</v>
      </c>
      <c r="B16" s="117" t="str">
        <f>Zusammenstellung!C21</f>
        <v>AHV-Lohn</v>
      </c>
      <c r="C16" s="117" t="str">
        <f>Zusammenstellung!D21</f>
        <v>nicht AHV-pflichtig</v>
      </c>
      <c r="D16" s="117" t="str">
        <f>Zusammenstellung!E21</f>
        <v>Unfall- und
Kranken-
taggeld</v>
      </c>
      <c r="E16" s="117" t="str">
        <f>Zusammenstellung!F21</f>
        <v>Kinder-
zulagen</v>
      </c>
      <c r="F16" s="117" t="str">
        <f>Zusammenstellung!G21</f>
        <v>Total Bruttolohn</v>
      </c>
      <c r="G16" s="128" t="str">
        <f>Zusammenstellung!H21</f>
        <v>AHV</v>
      </c>
      <c r="H16" s="128" t="str">
        <f>Zusammenstellung!I21</f>
        <v>ALV</v>
      </c>
      <c r="I16" s="117" t="str">
        <f>Zusammenstellung!J21</f>
        <v>BVG</v>
      </c>
      <c r="J16" s="128" t="str">
        <f>Zusammenstellung!K21</f>
        <v>NBU</v>
      </c>
      <c r="K16" s="128" t="str">
        <f>Zusammenstellung!L21</f>
        <v>KTG</v>
      </c>
      <c r="L16" s="120"/>
      <c r="M16" s="120"/>
      <c r="N16" s="117" t="str">
        <f>Zusammenstellung!O21</f>
        <v>Nettolohn</v>
      </c>
      <c r="O16" s="117" t="str">
        <f>Zusammenstellung!P21</f>
        <v xml:space="preserve">Spesen </v>
      </c>
      <c r="P16" s="117" t="str">
        <f>Zusammenstellung!Q21</f>
        <v>Auszahlung</v>
      </c>
    </row>
    <row r="17" spans="1:29" s="16" customFormat="1" ht="14.25" x14ac:dyDescent="0.25">
      <c r="A17" s="118"/>
      <c r="B17" s="118"/>
      <c r="C17" s="118"/>
      <c r="D17" s="118"/>
      <c r="E17" s="118"/>
      <c r="F17" s="118"/>
      <c r="G17" s="129"/>
      <c r="H17" s="129"/>
      <c r="I17" s="118"/>
      <c r="J17" s="129"/>
      <c r="K17" s="129"/>
      <c r="L17" s="121"/>
      <c r="M17" s="121"/>
      <c r="N17" s="118"/>
      <c r="O17" s="118"/>
      <c r="P17" s="118"/>
      <c r="Q17" s="115" t="s">
        <v>9</v>
      </c>
      <c r="R17" s="116"/>
      <c r="S17" s="116" t="s">
        <v>45</v>
      </c>
      <c r="T17" s="116"/>
      <c r="U17" s="16" t="s">
        <v>46</v>
      </c>
      <c r="V17" s="16" t="s">
        <v>47</v>
      </c>
      <c r="W17" s="16" t="s">
        <v>50</v>
      </c>
      <c r="X17" s="16" t="s">
        <v>60</v>
      </c>
      <c r="Y17" s="16" t="s">
        <v>51</v>
      </c>
      <c r="Z17" s="16" t="s">
        <v>61</v>
      </c>
      <c r="AA17" s="16" t="s">
        <v>49</v>
      </c>
      <c r="AB17" s="16" t="s">
        <v>48</v>
      </c>
      <c r="AC17" s="16" t="s">
        <v>59</v>
      </c>
    </row>
    <row r="18" spans="1:29" s="16" customFormat="1" ht="14.25" x14ac:dyDescent="0.2">
      <c r="A18" s="119"/>
      <c r="B18" s="119"/>
      <c r="C18" s="119"/>
      <c r="D18" s="119"/>
      <c r="E18" s="119"/>
      <c r="F18" s="119"/>
      <c r="G18" s="64">
        <f>AHV</f>
        <v>5.2999999999999999E-2</v>
      </c>
      <c r="H18" s="64">
        <f>IF(H15="",ALV,H15)</f>
        <v>1.0999999999999999E-2</v>
      </c>
      <c r="I18" s="119"/>
      <c r="J18" s="64">
        <f>IF(J15="",NBU,J15)</f>
        <v>1.4E-2</v>
      </c>
      <c r="K18" s="64">
        <f>IF(K15="",IF(I7="w",KTGW,KTG),K15)</f>
        <v>0.01</v>
      </c>
      <c r="L18" s="17"/>
      <c r="M18" s="17"/>
      <c r="N18" s="119"/>
      <c r="O18" s="119"/>
      <c r="P18" s="119"/>
      <c r="Q18" s="65" t="s">
        <v>43</v>
      </c>
      <c r="R18" s="65" t="s">
        <v>44</v>
      </c>
      <c r="S18" s="65" t="s">
        <v>43</v>
      </c>
      <c r="T18" s="65" t="s">
        <v>44</v>
      </c>
    </row>
    <row r="19" spans="1:29" s="16" customFormat="1" x14ac:dyDescent="0.3">
      <c r="A19" s="63"/>
      <c r="B19" s="63"/>
      <c r="C19" s="63"/>
      <c r="D19" s="63"/>
      <c r="E19" s="63"/>
      <c r="F19" s="63"/>
      <c r="G19" s="66"/>
      <c r="H19" s="66"/>
      <c r="I19" s="63"/>
      <c r="J19" s="66"/>
      <c r="K19" s="66"/>
      <c r="L19" s="66"/>
      <c r="M19" s="66"/>
      <c r="N19" s="63"/>
      <c r="O19" s="63"/>
      <c r="P19" s="63"/>
      <c r="Z19" s="67"/>
    </row>
    <row r="20" spans="1:29" x14ac:dyDescent="0.3">
      <c r="A20" s="68">
        <v>38383</v>
      </c>
      <c r="B20" s="69"/>
      <c r="C20" s="69"/>
      <c r="D20" s="69"/>
      <c r="E20" s="69"/>
      <c r="F20" s="70">
        <f t="shared" ref="F20:F33" si="0">SUM(B20:E20)</f>
        <v>0</v>
      </c>
      <c r="G20" s="71">
        <f>ROUND($B20*G$18/5,2)*5</f>
        <v>0</v>
      </c>
      <c r="H20" s="71">
        <f t="shared" ref="H20:H33" si="1">ROUND(W20*$H$18/5,2)*5</f>
        <v>0</v>
      </c>
      <c r="I20" s="69"/>
      <c r="J20" s="71">
        <f t="shared" ref="J20:J33" si="2">ROUND(W20*$J$18/5,2)*5</f>
        <v>0</v>
      </c>
      <c r="K20" s="71">
        <f t="shared" ref="K20:K33" si="3">ROUND(($B20+$C20)*K$18/5,2)*5</f>
        <v>0</v>
      </c>
      <c r="L20" s="69"/>
      <c r="M20" s="69"/>
      <c r="N20" s="71">
        <f>F20-G20-H20-J20-K20-L20-M20-I20</f>
        <v>0</v>
      </c>
      <c r="O20" s="69"/>
      <c r="P20" s="70">
        <f t="shared" ref="P20:P33" si="4">N20+O20</f>
        <v>0</v>
      </c>
      <c r="Q20" s="72">
        <v>45658</v>
      </c>
      <c r="R20" s="41">
        <f>Q20+30</f>
        <v>45688</v>
      </c>
      <c r="S20" s="41">
        <f t="shared" ref="S20:S31" si="5">IF($R$4&gt;R20,0,IF($R$4&gt;Q20,$R$4,Q20))</f>
        <v>45658</v>
      </c>
      <c r="T20" s="41">
        <f t="shared" ref="T20:T31" si="6">IF(S20=0,0,IF($R$5&gt;R20,R20,IF(S20&gt;$R$5,(S20)-1,$R$5)))</f>
        <v>45688</v>
      </c>
      <c r="U20" s="73">
        <f>IF(S20=0,0,DAYS360(S20,T20,1)+1)</f>
        <v>30</v>
      </c>
      <c r="V20" s="73">
        <f>U20</f>
        <v>30</v>
      </c>
      <c r="W20" s="67">
        <f>IF(AA20&gt;AB20,AB20-Y19,AA20-Y19)</f>
        <v>0</v>
      </c>
      <c r="X20" s="67">
        <f>IF(AA20&lt;(AB20),0,IF(AA20&gt;(AB20+AC20),AC20-Z19,AA20-Z19-AB20))</f>
        <v>0</v>
      </c>
      <c r="Y20" s="67">
        <f>W20</f>
        <v>0</v>
      </c>
      <c r="Z20" s="67">
        <f>X20</f>
        <v>0</v>
      </c>
      <c r="AA20" s="67">
        <f>B20+C20</f>
        <v>0</v>
      </c>
      <c r="AB20" s="67">
        <f t="shared" ref="AB20:AB33" si="7">ALVMAX/360*V20</f>
        <v>12350</v>
      </c>
      <c r="AC20" s="67">
        <f>(ALVMAX2/360*V20)-AB20</f>
        <v>8320983.2500000009</v>
      </c>
    </row>
    <row r="21" spans="1:29" x14ac:dyDescent="0.3">
      <c r="A21" s="68">
        <v>38411</v>
      </c>
      <c r="B21" s="69"/>
      <c r="C21" s="69"/>
      <c r="D21" s="69"/>
      <c r="E21" s="69"/>
      <c r="F21" s="70">
        <f t="shared" si="0"/>
        <v>0</v>
      </c>
      <c r="G21" s="71">
        <f t="shared" ref="G21:G33" si="8">ROUND(B21*$G$18/5,2)*5</f>
        <v>0</v>
      </c>
      <c r="H21" s="71">
        <f t="shared" si="1"/>
        <v>0</v>
      </c>
      <c r="I21" s="69"/>
      <c r="J21" s="71">
        <f t="shared" si="2"/>
        <v>0</v>
      </c>
      <c r="K21" s="71">
        <f t="shared" si="3"/>
        <v>0</v>
      </c>
      <c r="L21" s="69"/>
      <c r="M21" s="69"/>
      <c r="N21" s="71">
        <f t="shared" ref="N21:N33" si="9">F21-G21-H21-J21-K21-L21-M21-I21</f>
        <v>0</v>
      </c>
      <c r="O21" s="69"/>
      <c r="P21" s="70">
        <f t="shared" si="4"/>
        <v>0</v>
      </c>
      <c r="Q21" s="41">
        <f t="shared" ref="Q21:Q31" si="10">R20+1</f>
        <v>45689</v>
      </c>
      <c r="R21" s="72">
        <v>45716</v>
      </c>
      <c r="S21" s="41">
        <f t="shared" si="5"/>
        <v>45689</v>
      </c>
      <c r="T21" s="41">
        <f t="shared" si="6"/>
        <v>45716</v>
      </c>
      <c r="U21" s="73">
        <f>IF(S21=0,0,IF(R21=T21,DAYS360(S21,T21,1)+3,DAYS360(S21,T21,1)+1))</f>
        <v>30</v>
      </c>
      <c r="V21" s="73">
        <f t="shared" ref="V21:V33" si="11">V20+U21</f>
        <v>60</v>
      </c>
      <c r="W21" s="67">
        <f>IF(AA21&gt;AB21,AB21-Y20,AA21-Y20)</f>
        <v>0</v>
      </c>
      <c r="X21" s="67">
        <f>IF(AA21&lt;(AB21),0,IF(AA21&gt;(AB21+AC21),AC21-Z20,AA21-Z20-AB21))</f>
        <v>0</v>
      </c>
      <c r="Y21" s="67">
        <f t="shared" ref="Y21:Y33" si="12">Y20+W21</f>
        <v>0</v>
      </c>
      <c r="Z21" s="67">
        <f>X21+Z20</f>
        <v>0</v>
      </c>
      <c r="AA21" s="67">
        <f t="shared" ref="AA21:AA33" si="13">AA20+B21+C21</f>
        <v>0</v>
      </c>
      <c r="AB21" s="67">
        <f t="shared" si="7"/>
        <v>24700</v>
      </c>
      <c r="AC21" s="67">
        <f t="shared" ref="AC21:AC33" si="14">(ALVMAX2/360*V21)-AB21</f>
        <v>16641966.500000002</v>
      </c>
    </row>
    <row r="22" spans="1:29" x14ac:dyDescent="0.3">
      <c r="A22" s="68">
        <v>38442</v>
      </c>
      <c r="B22" s="69"/>
      <c r="C22" s="69"/>
      <c r="D22" s="69"/>
      <c r="E22" s="69"/>
      <c r="F22" s="70">
        <f t="shared" si="0"/>
        <v>0</v>
      </c>
      <c r="G22" s="71">
        <f t="shared" si="8"/>
        <v>0</v>
      </c>
      <c r="H22" s="71">
        <f t="shared" si="1"/>
        <v>0</v>
      </c>
      <c r="I22" s="69"/>
      <c r="J22" s="71">
        <f t="shared" si="2"/>
        <v>0</v>
      </c>
      <c r="K22" s="71">
        <f t="shared" si="3"/>
        <v>0</v>
      </c>
      <c r="L22" s="69"/>
      <c r="M22" s="69"/>
      <c r="N22" s="71">
        <f t="shared" si="9"/>
        <v>0</v>
      </c>
      <c r="O22" s="69"/>
      <c r="P22" s="70">
        <f t="shared" si="4"/>
        <v>0</v>
      </c>
      <c r="Q22" s="41">
        <f>R21+1</f>
        <v>45717</v>
      </c>
      <c r="R22" s="41">
        <f>Q22+30</f>
        <v>45747</v>
      </c>
      <c r="S22" s="41">
        <f t="shared" si="5"/>
        <v>45717</v>
      </c>
      <c r="T22" s="41">
        <f t="shared" si="6"/>
        <v>45747</v>
      </c>
      <c r="U22" s="73">
        <f>IF(S22=0,0,IF(T22=R21,DAYS360(S22,T22,1)+3,DAYS360(S22,T22,1)+1))</f>
        <v>30</v>
      </c>
      <c r="V22" s="73">
        <f t="shared" si="11"/>
        <v>90</v>
      </c>
      <c r="W22" s="67">
        <f>IF(AA22&gt;AB22,AB22-Y21,AA22-Y21)</f>
        <v>0</v>
      </c>
      <c r="X22" s="67">
        <f t="shared" ref="X22:X33" si="15">IF(AA22&lt;(AB22),0,IF(AA22&gt;(AB22+AC22),AC22-Z21,AA22-Z21-AB22))</f>
        <v>0</v>
      </c>
      <c r="Y22" s="67">
        <f t="shared" si="12"/>
        <v>0</v>
      </c>
      <c r="Z22" s="67">
        <f t="shared" ref="Z22:Z33" si="16">X22+Z21</f>
        <v>0</v>
      </c>
      <c r="AA22" s="67">
        <f t="shared" si="13"/>
        <v>0</v>
      </c>
      <c r="AB22" s="67">
        <f t="shared" si="7"/>
        <v>37050</v>
      </c>
      <c r="AC22" s="67">
        <f t="shared" si="14"/>
        <v>24962949.750000004</v>
      </c>
    </row>
    <row r="23" spans="1:29" x14ac:dyDescent="0.3">
      <c r="A23" s="68">
        <v>38472</v>
      </c>
      <c r="B23" s="69"/>
      <c r="C23" s="69"/>
      <c r="D23" s="69"/>
      <c r="E23" s="69"/>
      <c r="F23" s="70">
        <f t="shared" si="0"/>
        <v>0</v>
      </c>
      <c r="G23" s="71">
        <f t="shared" si="8"/>
        <v>0</v>
      </c>
      <c r="H23" s="71">
        <f t="shared" si="1"/>
        <v>0</v>
      </c>
      <c r="I23" s="69"/>
      <c r="J23" s="71">
        <f t="shared" si="2"/>
        <v>0</v>
      </c>
      <c r="K23" s="71">
        <f t="shared" si="3"/>
        <v>0</v>
      </c>
      <c r="L23" s="69"/>
      <c r="M23" s="69"/>
      <c r="N23" s="71">
        <f t="shared" si="9"/>
        <v>0</v>
      </c>
      <c r="O23" s="69"/>
      <c r="P23" s="70">
        <f t="shared" si="4"/>
        <v>0</v>
      </c>
      <c r="Q23" s="41">
        <f t="shared" si="10"/>
        <v>45748</v>
      </c>
      <c r="R23" s="41">
        <f>Q23+29</f>
        <v>45777</v>
      </c>
      <c r="S23" s="41">
        <f t="shared" si="5"/>
        <v>45748</v>
      </c>
      <c r="T23" s="41">
        <f t="shared" si="6"/>
        <v>45777</v>
      </c>
      <c r="U23" s="73">
        <f t="shared" ref="U23:U31" si="17">IF(S23=0,0,DAYS360(S23,T23,1)+1)</f>
        <v>30</v>
      </c>
      <c r="V23" s="73">
        <f t="shared" si="11"/>
        <v>120</v>
      </c>
      <c r="W23" s="67">
        <f t="shared" ref="W23:W33" si="18">IF(AA23&gt;AB23,AB23-Y22,AA23-Y22)</f>
        <v>0</v>
      </c>
      <c r="X23" s="67">
        <f t="shared" si="15"/>
        <v>0</v>
      </c>
      <c r="Y23" s="67">
        <f t="shared" si="12"/>
        <v>0</v>
      </c>
      <c r="Z23" s="67">
        <f t="shared" si="16"/>
        <v>0</v>
      </c>
      <c r="AA23" s="67">
        <f t="shared" si="13"/>
        <v>0</v>
      </c>
      <c r="AB23" s="67">
        <f t="shared" si="7"/>
        <v>49400</v>
      </c>
      <c r="AC23" s="67">
        <f t="shared" si="14"/>
        <v>33283933.000000004</v>
      </c>
    </row>
    <row r="24" spans="1:29" x14ac:dyDescent="0.3">
      <c r="A24" s="68">
        <v>38503</v>
      </c>
      <c r="B24" s="69"/>
      <c r="C24" s="69"/>
      <c r="D24" s="69"/>
      <c r="E24" s="69"/>
      <c r="F24" s="70">
        <f t="shared" si="0"/>
        <v>0</v>
      </c>
      <c r="G24" s="71">
        <f t="shared" si="8"/>
        <v>0</v>
      </c>
      <c r="H24" s="71">
        <f t="shared" si="1"/>
        <v>0</v>
      </c>
      <c r="I24" s="69"/>
      <c r="J24" s="71">
        <f t="shared" si="2"/>
        <v>0</v>
      </c>
      <c r="K24" s="71">
        <f t="shared" si="3"/>
        <v>0</v>
      </c>
      <c r="L24" s="69"/>
      <c r="M24" s="69"/>
      <c r="N24" s="71">
        <f t="shared" si="9"/>
        <v>0</v>
      </c>
      <c r="O24" s="69"/>
      <c r="P24" s="70">
        <f t="shared" si="4"/>
        <v>0</v>
      </c>
      <c r="Q24" s="41">
        <f t="shared" si="10"/>
        <v>45778</v>
      </c>
      <c r="R24" s="41">
        <f>Q24+30</f>
        <v>45808</v>
      </c>
      <c r="S24" s="41">
        <f t="shared" si="5"/>
        <v>45778</v>
      </c>
      <c r="T24" s="41">
        <f t="shared" si="6"/>
        <v>45808</v>
      </c>
      <c r="U24" s="73">
        <f t="shared" si="17"/>
        <v>30</v>
      </c>
      <c r="V24" s="73">
        <f t="shared" si="11"/>
        <v>150</v>
      </c>
      <c r="W24" s="67">
        <f t="shared" si="18"/>
        <v>0</v>
      </c>
      <c r="X24" s="67">
        <f t="shared" si="15"/>
        <v>0</v>
      </c>
      <c r="Y24" s="67">
        <f t="shared" si="12"/>
        <v>0</v>
      </c>
      <c r="Z24" s="67">
        <f t="shared" si="16"/>
        <v>0</v>
      </c>
      <c r="AA24" s="67">
        <f t="shared" si="13"/>
        <v>0</v>
      </c>
      <c r="AB24" s="67">
        <f t="shared" si="7"/>
        <v>61750</v>
      </c>
      <c r="AC24" s="67">
        <f t="shared" si="14"/>
        <v>41604916.25</v>
      </c>
    </row>
    <row r="25" spans="1:29" x14ac:dyDescent="0.3">
      <c r="A25" s="68">
        <v>38533</v>
      </c>
      <c r="B25" s="69"/>
      <c r="C25" s="69"/>
      <c r="D25" s="69"/>
      <c r="E25" s="69"/>
      <c r="F25" s="70">
        <f t="shared" si="0"/>
        <v>0</v>
      </c>
      <c r="G25" s="71">
        <f t="shared" si="8"/>
        <v>0</v>
      </c>
      <c r="H25" s="71">
        <f t="shared" si="1"/>
        <v>0</v>
      </c>
      <c r="I25" s="69"/>
      <c r="J25" s="71">
        <f t="shared" si="2"/>
        <v>0</v>
      </c>
      <c r="K25" s="71">
        <f t="shared" si="3"/>
        <v>0</v>
      </c>
      <c r="L25" s="69"/>
      <c r="M25" s="69"/>
      <c r="N25" s="71">
        <f t="shared" si="9"/>
        <v>0</v>
      </c>
      <c r="O25" s="69"/>
      <c r="P25" s="70">
        <f t="shared" si="4"/>
        <v>0</v>
      </c>
      <c r="Q25" s="41">
        <f t="shared" si="10"/>
        <v>45809</v>
      </c>
      <c r="R25" s="41">
        <f>Q25+29</f>
        <v>45838</v>
      </c>
      <c r="S25" s="41">
        <f t="shared" si="5"/>
        <v>45809</v>
      </c>
      <c r="T25" s="41">
        <f t="shared" si="6"/>
        <v>45838</v>
      </c>
      <c r="U25" s="73">
        <f t="shared" si="17"/>
        <v>30</v>
      </c>
      <c r="V25" s="73">
        <f t="shared" si="11"/>
        <v>180</v>
      </c>
      <c r="W25" s="67">
        <f t="shared" si="18"/>
        <v>0</v>
      </c>
      <c r="X25" s="67">
        <f t="shared" si="15"/>
        <v>0</v>
      </c>
      <c r="Y25" s="67">
        <f t="shared" si="12"/>
        <v>0</v>
      </c>
      <c r="Z25" s="67">
        <f t="shared" si="16"/>
        <v>0</v>
      </c>
      <c r="AA25" s="67">
        <f t="shared" si="13"/>
        <v>0</v>
      </c>
      <c r="AB25" s="67">
        <f t="shared" si="7"/>
        <v>74100</v>
      </c>
      <c r="AC25" s="67">
        <f t="shared" si="14"/>
        <v>49925899.500000007</v>
      </c>
    </row>
    <row r="26" spans="1:29" x14ac:dyDescent="0.3">
      <c r="A26" s="68">
        <v>38564</v>
      </c>
      <c r="B26" s="69"/>
      <c r="C26" s="69"/>
      <c r="D26" s="69"/>
      <c r="E26" s="69"/>
      <c r="F26" s="70">
        <f t="shared" si="0"/>
        <v>0</v>
      </c>
      <c r="G26" s="71">
        <f t="shared" si="8"/>
        <v>0</v>
      </c>
      <c r="H26" s="71">
        <f t="shared" si="1"/>
        <v>0</v>
      </c>
      <c r="I26" s="69"/>
      <c r="J26" s="71">
        <f t="shared" si="2"/>
        <v>0</v>
      </c>
      <c r="K26" s="71">
        <f t="shared" si="3"/>
        <v>0</v>
      </c>
      <c r="L26" s="69"/>
      <c r="M26" s="69"/>
      <c r="N26" s="71">
        <f t="shared" si="9"/>
        <v>0</v>
      </c>
      <c r="O26" s="69"/>
      <c r="P26" s="70">
        <f t="shared" si="4"/>
        <v>0</v>
      </c>
      <c r="Q26" s="41">
        <f t="shared" si="10"/>
        <v>45839</v>
      </c>
      <c r="R26" s="41">
        <f>Q26+30</f>
        <v>45869</v>
      </c>
      <c r="S26" s="41">
        <f t="shared" si="5"/>
        <v>45839</v>
      </c>
      <c r="T26" s="41">
        <f t="shared" si="6"/>
        <v>45869</v>
      </c>
      <c r="U26" s="73">
        <f t="shared" si="17"/>
        <v>30</v>
      </c>
      <c r="V26" s="73">
        <f t="shared" si="11"/>
        <v>210</v>
      </c>
      <c r="W26" s="67">
        <f t="shared" si="18"/>
        <v>0</v>
      </c>
      <c r="X26" s="67">
        <f t="shared" si="15"/>
        <v>0</v>
      </c>
      <c r="Y26" s="67">
        <f t="shared" si="12"/>
        <v>0</v>
      </c>
      <c r="Z26" s="67">
        <f t="shared" si="16"/>
        <v>0</v>
      </c>
      <c r="AA26" s="67">
        <f t="shared" si="13"/>
        <v>0</v>
      </c>
      <c r="AB26" s="67">
        <f t="shared" si="7"/>
        <v>86450</v>
      </c>
      <c r="AC26" s="67">
        <f t="shared" si="14"/>
        <v>58246882.750000007</v>
      </c>
    </row>
    <row r="27" spans="1:29" x14ac:dyDescent="0.3">
      <c r="A27" s="68">
        <v>38595</v>
      </c>
      <c r="B27" s="69"/>
      <c r="C27" s="69"/>
      <c r="D27" s="69"/>
      <c r="E27" s="69"/>
      <c r="F27" s="70">
        <f t="shared" si="0"/>
        <v>0</v>
      </c>
      <c r="G27" s="71">
        <f t="shared" si="8"/>
        <v>0</v>
      </c>
      <c r="H27" s="71">
        <f t="shared" si="1"/>
        <v>0</v>
      </c>
      <c r="I27" s="69"/>
      <c r="J27" s="71">
        <f t="shared" si="2"/>
        <v>0</v>
      </c>
      <c r="K27" s="71">
        <f t="shared" si="3"/>
        <v>0</v>
      </c>
      <c r="L27" s="69"/>
      <c r="M27" s="69"/>
      <c r="N27" s="71">
        <f t="shared" si="9"/>
        <v>0</v>
      </c>
      <c r="O27" s="69"/>
      <c r="P27" s="70">
        <f t="shared" si="4"/>
        <v>0</v>
      </c>
      <c r="Q27" s="41">
        <f t="shared" si="10"/>
        <v>45870</v>
      </c>
      <c r="R27" s="41">
        <f>Q27+30</f>
        <v>45900</v>
      </c>
      <c r="S27" s="41">
        <f t="shared" si="5"/>
        <v>45870</v>
      </c>
      <c r="T27" s="41">
        <f t="shared" si="6"/>
        <v>45900</v>
      </c>
      <c r="U27" s="73">
        <f t="shared" si="17"/>
        <v>30</v>
      </c>
      <c r="V27" s="73">
        <f t="shared" si="11"/>
        <v>240</v>
      </c>
      <c r="W27" s="67">
        <f t="shared" si="18"/>
        <v>0</v>
      </c>
      <c r="X27" s="67">
        <f t="shared" si="15"/>
        <v>0</v>
      </c>
      <c r="Y27" s="67">
        <f t="shared" si="12"/>
        <v>0</v>
      </c>
      <c r="Z27" s="67">
        <f t="shared" si="16"/>
        <v>0</v>
      </c>
      <c r="AA27" s="67">
        <f t="shared" si="13"/>
        <v>0</v>
      </c>
      <c r="AB27" s="67">
        <f t="shared" si="7"/>
        <v>98800</v>
      </c>
      <c r="AC27" s="67">
        <f t="shared" si="14"/>
        <v>66567866.000000007</v>
      </c>
    </row>
    <row r="28" spans="1:29" x14ac:dyDescent="0.3">
      <c r="A28" s="68">
        <v>38625</v>
      </c>
      <c r="B28" s="69"/>
      <c r="C28" s="69"/>
      <c r="D28" s="69"/>
      <c r="E28" s="69"/>
      <c r="F28" s="70">
        <f t="shared" si="0"/>
        <v>0</v>
      </c>
      <c r="G28" s="71">
        <f t="shared" si="8"/>
        <v>0</v>
      </c>
      <c r="H28" s="71">
        <f t="shared" si="1"/>
        <v>0</v>
      </c>
      <c r="I28" s="69"/>
      <c r="J28" s="71">
        <f t="shared" si="2"/>
        <v>0</v>
      </c>
      <c r="K28" s="71">
        <f t="shared" si="3"/>
        <v>0</v>
      </c>
      <c r="L28" s="69"/>
      <c r="M28" s="69"/>
      <c r="N28" s="71">
        <f t="shared" si="9"/>
        <v>0</v>
      </c>
      <c r="O28" s="69"/>
      <c r="P28" s="70">
        <f t="shared" si="4"/>
        <v>0</v>
      </c>
      <c r="Q28" s="41">
        <f t="shared" si="10"/>
        <v>45901</v>
      </c>
      <c r="R28" s="41">
        <f>Q28+29</f>
        <v>45930</v>
      </c>
      <c r="S28" s="41">
        <f t="shared" si="5"/>
        <v>45901</v>
      </c>
      <c r="T28" s="41">
        <f t="shared" si="6"/>
        <v>45930</v>
      </c>
      <c r="U28" s="73">
        <f t="shared" si="17"/>
        <v>30</v>
      </c>
      <c r="V28" s="73">
        <f t="shared" si="11"/>
        <v>270</v>
      </c>
      <c r="W28" s="67">
        <f t="shared" si="18"/>
        <v>0</v>
      </c>
      <c r="X28" s="67">
        <f t="shared" si="15"/>
        <v>0</v>
      </c>
      <c r="Y28" s="67">
        <f t="shared" si="12"/>
        <v>0</v>
      </c>
      <c r="Z28" s="67">
        <f t="shared" si="16"/>
        <v>0</v>
      </c>
      <c r="AA28" s="67">
        <f t="shared" si="13"/>
        <v>0</v>
      </c>
      <c r="AB28" s="67">
        <f t="shared" si="7"/>
        <v>111150</v>
      </c>
      <c r="AC28" s="67">
        <f t="shared" si="14"/>
        <v>74888849.25</v>
      </c>
    </row>
    <row r="29" spans="1:29" x14ac:dyDescent="0.3">
      <c r="A29" s="68">
        <v>38656</v>
      </c>
      <c r="B29" s="69"/>
      <c r="C29" s="69"/>
      <c r="D29" s="69"/>
      <c r="E29" s="69"/>
      <c r="F29" s="70">
        <f t="shared" si="0"/>
        <v>0</v>
      </c>
      <c r="G29" s="71">
        <f t="shared" si="8"/>
        <v>0</v>
      </c>
      <c r="H29" s="71">
        <f t="shared" si="1"/>
        <v>0</v>
      </c>
      <c r="I29" s="69"/>
      <c r="J29" s="71">
        <f t="shared" si="2"/>
        <v>0</v>
      </c>
      <c r="K29" s="71">
        <f t="shared" si="3"/>
        <v>0</v>
      </c>
      <c r="L29" s="69"/>
      <c r="M29" s="69"/>
      <c r="N29" s="71">
        <f t="shared" si="9"/>
        <v>0</v>
      </c>
      <c r="O29" s="69"/>
      <c r="P29" s="70">
        <f t="shared" si="4"/>
        <v>0</v>
      </c>
      <c r="Q29" s="41">
        <f t="shared" si="10"/>
        <v>45931</v>
      </c>
      <c r="R29" s="41">
        <f>Q29+30</f>
        <v>45961</v>
      </c>
      <c r="S29" s="41">
        <f t="shared" si="5"/>
        <v>45931</v>
      </c>
      <c r="T29" s="41">
        <f t="shared" si="6"/>
        <v>45961</v>
      </c>
      <c r="U29" s="73">
        <f t="shared" si="17"/>
        <v>30</v>
      </c>
      <c r="V29" s="73">
        <f t="shared" si="11"/>
        <v>300</v>
      </c>
      <c r="W29" s="67">
        <f t="shared" si="18"/>
        <v>0</v>
      </c>
      <c r="X29" s="67">
        <f t="shared" si="15"/>
        <v>0</v>
      </c>
      <c r="Y29" s="67">
        <f t="shared" si="12"/>
        <v>0</v>
      </c>
      <c r="Z29" s="67">
        <f t="shared" si="16"/>
        <v>0</v>
      </c>
      <c r="AA29" s="67">
        <f t="shared" si="13"/>
        <v>0</v>
      </c>
      <c r="AB29" s="67">
        <f t="shared" si="7"/>
        <v>123500</v>
      </c>
      <c r="AC29" s="67">
        <f t="shared" si="14"/>
        <v>83209832.5</v>
      </c>
    </row>
    <row r="30" spans="1:29" x14ac:dyDescent="0.3">
      <c r="A30" s="68">
        <v>38686</v>
      </c>
      <c r="B30" s="69"/>
      <c r="C30" s="69"/>
      <c r="D30" s="69"/>
      <c r="E30" s="69"/>
      <c r="F30" s="70">
        <f t="shared" si="0"/>
        <v>0</v>
      </c>
      <c r="G30" s="71">
        <f t="shared" si="8"/>
        <v>0</v>
      </c>
      <c r="H30" s="71">
        <f t="shared" si="1"/>
        <v>0</v>
      </c>
      <c r="I30" s="69"/>
      <c r="J30" s="71">
        <f t="shared" si="2"/>
        <v>0</v>
      </c>
      <c r="K30" s="71">
        <f t="shared" si="3"/>
        <v>0</v>
      </c>
      <c r="L30" s="69"/>
      <c r="M30" s="69"/>
      <c r="N30" s="71">
        <f t="shared" si="9"/>
        <v>0</v>
      </c>
      <c r="O30" s="69"/>
      <c r="P30" s="70">
        <f t="shared" si="4"/>
        <v>0</v>
      </c>
      <c r="Q30" s="41">
        <f t="shared" si="10"/>
        <v>45962</v>
      </c>
      <c r="R30" s="41">
        <f>Q30+29</f>
        <v>45991</v>
      </c>
      <c r="S30" s="41">
        <f t="shared" si="5"/>
        <v>45962</v>
      </c>
      <c r="T30" s="41">
        <f t="shared" si="6"/>
        <v>45991</v>
      </c>
      <c r="U30" s="73">
        <f t="shared" si="17"/>
        <v>30</v>
      </c>
      <c r="V30" s="73">
        <f t="shared" si="11"/>
        <v>330</v>
      </c>
      <c r="W30" s="67">
        <f t="shared" si="18"/>
        <v>0</v>
      </c>
      <c r="X30" s="67">
        <f t="shared" si="15"/>
        <v>0</v>
      </c>
      <c r="Y30" s="67">
        <f t="shared" si="12"/>
        <v>0</v>
      </c>
      <c r="Z30" s="67">
        <f t="shared" si="16"/>
        <v>0</v>
      </c>
      <c r="AA30" s="67">
        <f t="shared" si="13"/>
        <v>0</v>
      </c>
      <c r="AB30" s="67">
        <f t="shared" si="7"/>
        <v>135850</v>
      </c>
      <c r="AC30" s="67">
        <f t="shared" si="14"/>
        <v>91530815.750000015</v>
      </c>
    </row>
    <row r="31" spans="1:29" x14ac:dyDescent="0.3">
      <c r="A31" s="68">
        <v>38717</v>
      </c>
      <c r="B31" s="69"/>
      <c r="C31" s="69"/>
      <c r="D31" s="69"/>
      <c r="E31" s="69"/>
      <c r="F31" s="70">
        <f t="shared" si="0"/>
        <v>0</v>
      </c>
      <c r="G31" s="71">
        <f t="shared" si="8"/>
        <v>0</v>
      </c>
      <c r="H31" s="71">
        <f t="shared" si="1"/>
        <v>0</v>
      </c>
      <c r="I31" s="69"/>
      <c r="J31" s="71">
        <f t="shared" si="2"/>
        <v>0</v>
      </c>
      <c r="K31" s="71">
        <f t="shared" si="3"/>
        <v>0</v>
      </c>
      <c r="L31" s="69"/>
      <c r="M31" s="69"/>
      <c r="N31" s="71">
        <f t="shared" si="9"/>
        <v>0</v>
      </c>
      <c r="O31" s="69"/>
      <c r="P31" s="70">
        <f t="shared" si="4"/>
        <v>0</v>
      </c>
      <c r="Q31" s="41">
        <f t="shared" si="10"/>
        <v>45992</v>
      </c>
      <c r="R31" s="41">
        <f>Q31+30</f>
        <v>46022</v>
      </c>
      <c r="S31" s="41">
        <f t="shared" si="5"/>
        <v>45992</v>
      </c>
      <c r="T31" s="41">
        <f t="shared" si="6"/>
        <v>46022</v>
      </c>
      <c r="U31" s="73">
        <f t="shared" si="17"/>
        <v>30</v>
      </c>
      <c r="V31" s="73">
        <f t="shared" si="11"/>
        <v>360</v>
      </c>
      <c r="W31" s="67">
        <f t="shared" si="18"/>
        <v>0</v>
      </c>
      <c r="X31" s="67">
        <f t="shared" si="15"/>
        <v>0</v>
      </c>
      <c r="Y31" s="67">
        <f t="shared" si="12"/>
        <v>0</v>
      </c>
      <c r="Z31" s="67">
        <f t="shared" si="16"/>
        <v>0</v>
      </c>
      <c r="AA31" s="67">
        <f t="shared" si="13"/>
        <v>0</v>
      </c>
      <c r="AB31" s="67">
        <f t="shared" si="7"/>
        <v>148200</v>
      </c>
      <c r="AC31" s="67">
        <f t="shared" si="14"/>
        <v>99851799.000000015</v>
      </c>
    </row>
    <row r="32" spans="1:29" x14ac:dyDescent="0.3">
      <c r="A32" s="74" t="s">
        <v>20</v>
      </c>
      <c r="B32" s="69"/>
      <c r="C32" s="69"/>
      <c r="D32" s="69"/>
      <c r="E32" s="69"/>
      <c r="F32" s="70">
        <f t="shared" si="0"/>
        <v>0</v>
      </c>
      <c r="G32" s="71">
        <f t="shared" si="8"/>
        <v>0</v>
      </c>
      <c r="H32" s="71">
        <f t="shared" si="1"/>
        <v>0</v>
      </c>
      <c r="I32" s="69"/>
      <c r="J32" s="71">
        <f t="shared" si="2"/>
        <v>0</v>
      </c>
      <c r="K32" s="71">
        <f t="shared" si="3"/>
        <v>0</v>
      </c>
      <c r="L32" s="69"/>
      <c r="M32" s="69"/>
      <c r="N32" s="71">
        <f t="shared" si="9"/>
        <v>0</v>
      </c>
      <c r="O32" s="69"/>
      <c r="P32" s="70">
        <f t="shared" si="4"/>
        <v>0</v>
      </c>
      <c r="Q32" s="41"/>
      <c r="R32" s="41"/>
      <c r="U32" s="73">
        <f>IF(S32=0,0,DAYS360(S32,T32,1)+1)</f>
        <v>0</v>
      </c>
      <c r="V32" s="73">
        <f t="shared" si="11"/>
        <v>360</v>
      </c>
      <c r="W32" s="67">
        <f t="shared" si="18"/>
        <v>0</v>
      </c>
      <c r="X32" s="67">
        <f t="shared" si="15"/>
        <v>0</v>
      </c>
      <c r="Y32" s="67">
        <f t="shared" si="12"/>
        <v>0</v>
      </c>
      <c r="Z32" s="67">
        <f t="shared" si="16"/>
        <v>0</v>
      </c>
      <c r="AA32" s="67">
        <f t="shared" si="13"/>
        <v>0</v>
      </c>
      <c r="AB32" s="67">
        <f t="shared" si="7"/>
        <v>148200</v>
      </c>
      <c r="AC32" s="67">
        <f t="shared" si="14"/>
        <v>99851799.000000015</v>
      </c>
    </row>
    <row r="33" spans="1:29" x14ac:dyDescent="0.3">
      <c r="A33" s="75" t="s">
        <v>21</v>
      </c>
      <c r="B33" s="69"/>
      <c r="C33" s="69"/>
      <c r="D33" s="69"/>
      <c r="E33" s="69"/>
      <c r="F33" s="70">
        <f t="shared" si="0"/>
        <v>0</v>
      </c>
      <c r="G33" s="71">
        <f t="shared" si="8"/>
        <v>0</v>
      </c>
      <c r="H33" s="71">
        <f t="shared" si="1"/>
        <v>0</v>
      </c>
      <c r="I33" s="69"/>
      <c r="J33" s="71">
        <f t="shared" si="2"/>
        <v>0</v>
      </c>
      <c r="K33" s="71">
        <f t="shared" si="3"/>
        <v>0</v>
      </c>
      <c r="L33" s="69"/>
      <c r="M33" s="69"/>
      <c r="N33" s="71">
        <f t="shared" si="9"/>
        <v>0</v>
      </c>
      <c r="O33" s="69"/>
      <c r="P33" s="70">
        <f t="shared" si="4"/>
        <v>0</v>
      </c>
      <c r="Q33" s="41"/>
      <c r="R33" s="41"/>
      <c r="U33" s="73">
        <f>IF(S33=0,0,DAYS360(S33,T33,1)+1)</f>
        <v>0</v>
      </c>
      <c r="V33" s="73">
        <f t="shared" si="11"/>
        <v>360</v>
      </c>
      <c r="W33" s="67">
        <f t="shared" si="18"/>
        <v>0</v>
      </c>
      <c r="X33" s="67">
        <f t="shared" si="15"/>
        <v>0</v>
      </c>
      <c r="Y33" s="67">
        <f t="shared" si="12"/>
        <v>0</v>
      </c>
      <c r="Z33" s="67">
        <f t="shared" si="16"/>
        <v>0</v>
      </c>
      <c r="AA33" s="67">
        <f t="shared" si="13"/>
        <v>0</v>
      </c>
      <c r="AB33" s="67">
        <f t="shared" si="7"/>
        <v>148200</v>
      </c>
      <c r="AC33" s="67">
        <f t="shared" si="14"/>
        <v>99851799.000000015</v>
      </c>
    </row>
    <row r="34" spans="1:29" s="16" customFormat="1" x14ac:dyDescent="0.3">
      <c r="A34" s="63"/>
      <c r="B34" s="63"/>
      <c r="C34" s="63"/>
      <c r="D34" s="63"/>
      <c r="E34" s="63"/>
      <c r="F34" s="63"/>
      <c r="G34" s="66"/>
      <c r="H34" s="66"/>
      <c r="I34" s="63"/>
      <c r="J34" s="66"/>
      <c r="K34" s="66"/>
      <c r="L34" s="66"/>
      <c r="M34" s="66"/>
      <c r="N34" s="63"/>
      <c r="O34" s="63"/>
      <c r="P34" s="63"/>
      <c r="U34" s="76"/>
      <c r="V34" s="76"/>
      <c r="W34" s="76"/>
      <c r="X34" s="76"/>
      <c r="Y34" s="76"/>
      <c r="Z34" s="67"/>
    </row>
    <row r="35" spans="1:29" s="26" customFormat="1" ht="17.25" thickBot="1" x14ac:dyDescent="0.35">
      <c r="A35" s="77" t="s">
        <v>0</v>
      </c>
      <c r="B35" s="78">
        <f>SUM(B20:B33)</f>
        <v>0</v>
      </c>
      <c r="C35" s="78">
        <f t="shared" ref="C35:P35" si="19">SUM(C20:C33)</f>
        <v>0</v>
      </c>
      <c r="D35" s="78">
        <f t="shared" si="19"/>
        <v>0</v>
      </c>
      <c r="E35" s="78">
        <f t="shared" si="19"/>
        <v>0</v>
      </c>
      <c r="F35" s="78">
        <f t="shared" si="19"/>
        <v>0</v>
      </c>
      <c r="G35" s="78">
        <f t="shared" si="19"/>
        <v>0</v>
      </c>
      <c r="H35" s="78">
        <f t="shared" si="19"/>
        <v>0</v>
      </c>
      <c r="I35" s="78">
        <f t="shared" si="19"/>
        <v>0</v>
      </c>
      <c r="J35" s="78">
        <f t="shared" si="19"/>
        <v>0</v>
      </c>
      <c r="K35" s="78">
        <f t="shared" si="19"/>
        <v>0</v>
      </c>
      <c r="L35" s="78">
        <f t="shared" si="19"/>
        <v>0</v>
      </c>
      <c r="M35" s="78">
        <f t="shared" si="19"/>
        <v>0</v>
      </c>
      <c r="N35" s="78">
        <f t="shared" si="19"/>
        <v>0</v>
      </c>
      <c r="O35" s="78">
        <f t="shared" si="19"/>
        <v>0</v>
      </c>
      <c r="P35" s="78">
        <f t="shared" si="19"/>
        <v>0</v>
      </c>
      <c r="Q35" s="79"/>
      <c r="U35" s="80">
        <f>SUM(U20:U34)</f>
        <v>360</v>
      </c>
      <c r="V35" s="80"/>
      <c r="W35" s="67">
        <f>SUM(W20:W31)</f>
        <v>0</v>
      </c>
      <c r="X35" s="67">
        <f>SUM(X20:X31)</f>
        <v>0</v>
      </c>
      <c r="Y35" s="80"/>
      <c r="Z35" s="80"/>
    </row>
    <row r="36" spans="1:29" s="81" customFormat="1" ht="15.75" customHeight="1" thickTop="1" x14ac:dyDescent="0.15">
      <c r="B36" s="82"/>
      <c r="C36" s="82"/>
      <c r="D36" s="82"/>
      <c r="E36" s="82"/>
      <c r="F36" s="98" t="str">
        <f>IF(H36="","","Total AHV+ALV:")</f>
        <v/>
      </c>
      <c r="G36" s="98"/>
      <c r="H36" s="139" t="str">
        <f>IF(G35=0,"",G35+H35)</f>
        <v/>
      </c>
      <c r="I36" s="98" t="str">
        <f>IF(H36="","","Total AHV+ALV+NBU:")</f>
        <v/>
      </c>
      <c r="J36" s="98"/>
      <c r="K36" s="98"/>
      <c r="L36" s="139" t="str">
        <f>IF(G35=0,"",H36+J35)</f>
        <v/>
      </c>
      <c r="M36" s="82"/>
      <c r="N36" s="82"/>
      <c r="O36" s="82"/>
      <c r="P36" s="82"/>
      <c r="Q36" s="82"/>
      <c r="R36" s="82"/>
      <c r="V36" s="83"/>
      <c r="W36" s="83"/>
      <c r="X36" s="83"/>
      <c r="Y36" s="83"/>
      <c r="Z36" s="83"/>
      <c r="AA36" s="83"/>
    </row>
    <row r="37" spans="1:29" x14ac:dyDescent="0.3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29" x14ac:dyDescent="0.3">
      <c r="A38" s="26" t="s">
        <v>35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1:29" x14ac:dyDescent="0.3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28"/>
      <c r="R39" s="27"/>
      <c r="S39" s="41">
        <f>R31+1</f>
        <v>46023</v>
      </c>
    </row>
    <row r="40" spans="1:29" x14ac:dyDescent="0.3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28"/>
      <c r="R40" s="27"/>
    </row>
    <row r="41" spans="1:29" x14ac:dyDescent="0.3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28"/>
      <c r="R41" s="27"/>
    </row>
    <row r="42" spans="1:29" x14ac:dyDescent="0.3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28"/>
      <c r="R42" s="27"/>
    </row>
    <row r="43" spans="1:29" x14ac:dyDescent="0.3">
      <c r="A43" s="113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88"/>
      <c r="R43" s="27"/>
    </row>
    <row r="44" spans="1:29" x14ac:dyDescent="0.3">
      <c r="A44" s="113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28"/>
    </row>
    <row r="45" spans="1:29" x14ac:dyDescent="0.3">
      <c r="A45" s="113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28"/>
    </row>
    <row r="46" spans="1:29" x14ac:dyDescent="0.3">
      <c r="A46" s="113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28"/>
    </row>
    <row r="47" spans="1:29" x14ac:dyDescent="0.3">
      <c r="A47" s="113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28"/>
    </row>
    <row r="48" spans="1:29" x14ac:dyDescent="0.3">
      <c r="Q48" s="28"/>
    </row>
    <row r="50" spans="1:18" x14ac:dyDescent="0.3">
      <c r="A50" s="26"/>
      <c r="Q50" s="30"/>
    </row>
    <row r="51" spans="1:18" x14ac:dyDescent="0.3">
      <c r="A51" s="29"/>
      <c r="H51" s="84"/>
      <c r="Q51" s="30"/>
    </row>
    <row r="52" spans="1:18" x14ac:dyDescent="0.3">
      <c r="A52" s="31"/>
      <c r="Q52" s="85"/>
    </row>
    <row r="54" spans="1:18" x14ac:dyDescent="0.3">
      <c r="A54" s="26" t="s">
        <v>36</v>
      </c>
      <c r="Q54" s="27"/>
    </row>
    <row r="55" spans="1:18" x14ac:dyDescent="0.3">
      <c r="A55" s="113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28"/>
    </row>
    <row r="56" spans="1:18" s="1" customFormat="1" x14ac:dyDescent="0.3">
      <c r="A56" s="113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28"/>
    </row>
    <row r="57" spans="1:18" s="1" customFormat="1" x14ac:dyDescent="0.3">
      <c r="A57" s="113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28"/>
    </row>
    <row r="58" spans="1:18" x14ac:dyDescent="0.3">
      <c r="A58" s="113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28"/>
      <c r="R58" s="28"/>
    </row>
    <row r="59" spans="1:18" s="1" customFormat="1" x14ac:dyDescent="0.3">
      <c r="A59" s="113"/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28"/>
      <c r="R59" s="28"/>
    </row>
    <row r="60" spans="1:18" s="1" customFormat="1" x14ac:dyDescent="0.3">
      <c r="A60" s="113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28"/>
      <c r="R60" s="28"/>
    </row>
    <row r="61" spans="1:18" x14ac:dyDescent="0.3">
      <c r="A61" s="113"/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28"/>
      <c r="R61" s="28"/>
    </row>
    <row r="62" spans="1:18" s="1" customFormat="1" x14ac:dyDescent="0.3">
      <c r="A62" s="113"/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28"/>
      <c r="R62" s="28"/>
    </row>
    <row r="63" spans="1:18" s="1" customFormat="1" x14ac:dyDescent="0.3">
      <c r="A63" s="113"/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28"/>
      <c r="R63" s="28"/>
    </row>
    <row r="64" spans="1:18" x14ac:dyDescent="0.3">
      <c r="A64" s="113"/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28"/>
      <c r="R64" s="28"/>
    </row>
    <row r="65" spans="1:18" s="1" customFormat="1" x14ac:dyDescent="0.3">
      <c r="A65" s="113"/>
      <c r="B65" s="114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28"/>
      <c r="R65" s="28"/>
    </row>
    <row r="66" spans="1:18" s="1" customFormat="1" x14ac:dyDescent="0.3">
      <c r="A66" s="113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28"/>
      <c r="R66" s="28"/>
    </row>
    <row r="67" spans="1:18" s="1" customFormat="1" x14ac:dyDescent="0.3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</row>
    <row r="68" spans="1:18" s="1" customFormat="1" x14ac:dyDescent="0.3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x14ac:dyDescent="0.3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</row>
    <row r="70" spans="1:18" x14ac:dyDescent="0.3">
      <c r="R70" s="28"/>
    </row>
  </sheetData>
  <sheetProtection algorithmName="SHA-512" hashValue="Fyt8snRGT3nTjPA1Lo3931NGc2x9Ms7m+I5P02UqANficQaPc9D20TkrdIbFgmvM+ABiE5qg1L2SCHv+d9j9mw==" saltValue="tzms3FSqwC61fTFqG4nSzg==" spinCount="100000" sheet="1" objects="1" scenarios="1"/>
  <mergeCells count="52">
    <mergeCell ref="H4:I4"/>
    <mergeCell ref="C5:E5"/>
    <mergeCell ref="H5:I5"/>
    <mergeCell ref="C6:E6"/>
    <mergeCell ref="C4:E4"/>
    <mergeCell ref="A41:P41"/>
    <mergeCell ref="C7:E7"/>
    <mergeCell ref="C10:D10"/>
    <mergeCell ref="M16:M17"/>
    <mergeCell ref="C9:D9"/>
    <mergeCell ref="C12:D12"/>
    <mergeCell ref="D15:G15"/>
    <mergeCell ref="D16:D18"/>
    <mergeCell ref="E16:E18"/>
    <mergeCell ref="F16:F18"/>
    <mergeCell ref="K16:K17"/>
    <mergeCell ref="C16:C18"/>
    <mergeCell ref="J16:J17"/>
    <mergeCell ref="G16:G17"/>
    <mergeCell ref="I16:I18"/>
    <mergeCell ref="H16:H17"/>
    <mergeCell ref="H10:L10"/>
    <mergeCell ref="F36:G36"/>
    <mergeCell ref="I36:K36"/>
    <mergeCell ref="A39:P39"/>
    <mergeCell ref="A40:P40"/>
    <mergeCell ref="L16:L17"/>
    <mergeCell ref="S17:T17"/>
    <mergeCell ref="Q17:R17"/>
    <mergeCell ref="A16:A18"/>
    <mergeCell ref="B16:B18"/>
    <mergeCell ref="N16:N18"/>
    <mergeCell ref="P16:P18"/>
    <mergeCell ref="O16:O18"/>
    <mergeCell ref="A42:P42"/>
    <mergeCell ref="A43:P43"/>
    <mergeCell ref="A47:P47"/>
    <mergeCell ref="A55:P55"/>
    <mergeCell ref="A56:P56"/>
    <mergeCell ref="A44:P44"/>
    <mergeCell ref="A45:P45"/>
    <mergeCell ref="A46:P46"/>
    <mergeCell ref="A57:P57"/>
    <mergeCell ref="A58:P58"/>
    <mergeCell ref="A64:P64"/>
    <mergeCell ref="A65:P65"/>
    <mergeCell ref="A66:P66"/>
    <mergeCell ref="A59:P59"/>
    <mergeCell ref="A60:P60"/>
    <mergeCell ref="A61:P61"/>
    <mergeCell ref="A62:P62"/>
    <mergeCell ref="A63:P63"/>
  </mergeCells>
  <phoneticPr fontId="0" type="noConversion"/>
  <dataValidations count="1">
    <dataValidation type="textLength" operator="equal" allowBlank="1" showInputMessage="1" showErrorMessage="1" errorTitle="Bitte korrigieren:" error="m = männlich_x000a_w = weiblich" sqref="I7" xr:uid="{00000000-0002-0000-0800-000000000000}">
      <formula1>1</formula1>
    </dataValidation>
  </dataValidations>
  <printOptions horizontalCentered="1"/>
  <pageMargins left="1.0629921259842521" right="0.78740157480314965" top="0.59055118110236227" bottom="0.59055118110236227" header="0.51181102362204722" footer="0.31496062992125984"/>
  <pageSetup paperSize="9" scale="63" orientation="landscape" r:id="rId1"/>
  <headerFooter>
    <oddFooter>&amp;L&amp;G&amp;C&amp;"Segoe UI Semilight,Standard"&amp;K1D71B8Bern | Biel/Bienne&amp;R&amp;"Segoe UI Semilight,Standard"&amp;K1D71B8strasser-ag.ch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35</vt:i4>
      </vt:variant>
    </vt:vector>
  </HeadingPairs>
  <TitlesOfParts>
    <vt:vector size="47" baseType="lpstr">
      <vt:lpstr>Zusammenstellung</vt:lpstr>
      <vt:lpstr>Ang1</vt:lpstr>
      <vt:lpstr>Ang2</vt:lpstr>
      <vt:lpstr>Ang3</vt:lpstr>
      <vt:lpstr>Ang4</vt:lpstr>
      <vt:lpstr>Ang5</vt:lpstr>
      <vt:lpstr>Ang6</vt:lpstr>
      <vt:lpstr>Ang7</vt:lpstr>
      <vt:lpstr>Ang8</vt:lpstr>
      <vt:lpstr>Ang9</vt:lpstr>
      <vt:lpstr>Ang10</vt:lpstr>
      <vt:lpstr>Monatstotal</vt:lpstr>
      <vt:lpstr>AHV</vt:lpstr>
      <vt:lpstr>ALV</vt:lpstr>
      <vt:lpstr>ALVMAX</vt:lpstr>
      <vt:lpstr>ALVMAX2</vt:lpstr>
      <vt:lpstr>'Ang1'!Druckbereich</vt:lpstr>
      <vt:lpstr>'Ang10'!Druckbereich</vt:lpstr>
      <vt:lpstr>'Ang2'!Druckbereich</vt:lpstr>
      <vt:lpstr>'Ang3'!Druckbereich</vt:lpstr>
      <vt:lpstr>'Ang4'!Druckbereich</vt:lpstr>
      <vt:lpstr>'Ang5'!Druckbereich</vt:lpstr>
      <vt:lpstr>'Ang6'!Druckbereich</vt:lpstr>
      <vt:lpstr>'Ang7'!Druckbereich</vt:lpstr>
      <vt:lpstr>'Ang8'!Druckbereich</vt:lpstr>
      <vt:lpstr>'Ang9'!Druckbereich</vt:lpstr>
      <vt:lpstr>Monatstotal!Druckbereich</vt:lpstr>
      <vt:lpstr>Zusammenstellung!Druckbereich</vt:lpstr>
      <vt:lpstr>Firma</vt:lpstr>
      <vt:lpstr>Jahr</vt:lpstr>
      <vt:lpstr>KTG</vt:lpstr>
      <vt:lpstr>KTGW</vt:lpstr>
      <vt:lpstr>NBU</vt:lpstr>
      <vt:lpstr>Ort</vt:lpstr>
      <vt:lpstr>'Ang1'!Print_Area</vt:lpstr>
      <vt:lpstr>'Ang10'!Print_Area</vt:lpstr>
      <vt:lpstr>'Ang2'!Print_Area</vt:lpstr>
      <vt:lpstr>'Ang3'!Print_Area</vt:lpstr>
      <vt:lpstr>'Ang4'!Print_Area</vt:lpstr>
      <vt:lpstr>'Ang5'!Print_Area</vt:lpstr>
      <vt:lpstr>'Ang6'!Print_Area</vt:lpstr>
      <vt:lpstr>'Ang7'!Print_Area</vt:lpstr>
      <vt:lpstr>'Ang8'!Print_Area</vt:lpstr>
      <vt:lpstr>'Ang9'!Print_Area</vt:lpstr>
      <vt:lpstr>Monatstotal!Print_Area</vt:lpstr>
      <vt:lpstr>Zusammenstellung!Print_Area</vt:lpstr>
      <vt:lpstr>Version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Lohntabelle</dc:title>
  <dc:creator>Treuhand Strasser AG</dc:creator>
  <cp:lastModifiedBy>Cassandra Schlachter</cp:lastModifiedBy>
  <cp:lastPrinted>2024-12-31T14:13:27Z</cp:lastPrinted>
  <dcterms:created xsi:type="dcterms:W3CDTF">2002-08-09T14:11:18Z</dcterms:created>
  <dcterms:modified xsi:type="dcterms:W3CDTF">2025-01-14T13:04:03Z</dcterms:modified>
</cp:coreProperties>
</file>